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72" firstSheet="10" activeTab="11"/>
  </bookViews>
  <sheets>
    <sheet name="表1 总表" sheetId="1" r:id="rId1"/>
    <sheet name="表2 扩大国家免疫规划" sheetId="5" r:id="rId2"/>
    <sheet name="表3 艾滋病防治" sheetId="3" r:id="rId3"/>
    <sheet name="表3-1 监测检测随访干预" sheetId="4" r:id="rId4"/>
    <sheet name="表3-2母婴阻断" sheetId="22" r:id="rId5"/>
    <sheet name="表3-3 血液安全 " sheetId="23" r:id="rId6"/>
    <sheet name="表3-4艾滋病健康教育" sheetId="21" r:id="rId7"/>
    <sheet name="表3-2 母婴阻断(未更新)" sheetId="8" state="hidden" r:id="rId8"/>
    <sheet name="表3-4婚前孕前保健(未更新)" sheetId="12" state="hidden" r:id="rId9"/>
    <sheet name="表4 结核病防控" sheetId="9" r:id="rId10"/>
    <sheet name="表5 精神卫生防治" sheetId="10" r:id="rId11"/>
    <sheet name="表6 慢性非传染性疾病防控" sheetId="11" r:id="rId12"/>
    <sheet name="表7 重点传染病及健康危害因素监测" sheetId="13" r:id="rId13"/>
    <sheet name="表7-1 成人烟草流行监测" sheetId="20" r:id="rId14"/>
    <sheet name="表7-2 食品安全风险监测评估 " sheetId="14" r:id="rId15"/>
    <sheet name="表7-3 居民健康素养监测" sheetId="19" r:id="rId16"/>
    <sheet name="表7-4  重点急性传染病防治项目" sheetId="15" r:id="rId17"/>
    <sheet name="表7-5麻风病监测" sheetId="16" r:id="rId18"/>
    <sheet name="表7-6 疟疾等其他寄生虫病监测项目" sheetId="17" r:id="rId19"/>
    <sheet name="表7-7 水和环境卫生、学校卫生和伤害监测" sheetId="18" r:id="rId20"/>
  </sheets>
  <definedNames>
    <definedName name="_xlnm.Print_Area" localSheetId="14">'表7-2 食品安全风险监测评估 '!#REF!</definedName>
    <definedName name="_xlnm.Print_Area" localSheetId="19">'表7-7 水和环境卫生、学校卫生和伤害监测'!#REF!</definedName>
  </definedNames>
  <calcPr calcId="144525"/>
</workbook>
</file>

<file path=xl/sharedStrings.xml><?xml version="1.0" encoding="utf-8"?>
<sst xmlns="http://schemas.openxmlformats.org/spreadsheetml/2006/main" count="682" uniqueCount="399">
  <si>
    <t>附件2</t>
  </si>
  <si>
    <t>表1</t>
  </si>
  <si>
    <t>提前下达2024年中央财政补助重大传染病防控项目资金分配表</t>
  </si>
  <si>
    <t>金额单位：万元</t>
  </si>
  <si>
    <t>项目单位</t>
  </si>
  <si>
    <t>合计</t>
  </si>
  <si>
    <t>重大传染病防控</t>
  </si>
  <si>
    <t>扩大国家免疫规划</t>
  </si>
  <si>
    <t>艾滋病
防治</t>
  </si>
  <si>
    <t>结核病防治</t>
  </si>
  <si>
    <t>精神卫生</t>
  </si>
  <si>
    <t>慢性非传染性疾病防治</t>
  </si>
  <si>
    <t>重点传染病及健康危害因素监测</t>
  </si>
  <si>
    <t>2024年应下达金额</t>
  </si>
  <si>
    <t>小计</t>
  </si>
  <si>
    <t>成人烟草流行监测</t>
  </si>
  <si>
    <t>食品安全风险监测评估</t>
  </si>
  <si>
    <t>居民健康素养监测</t>
  </si>
  <si>
    <t>重点传染病监测:含新冠、流感、SARS人禽流感、手足口病、登革热、布病、狂犬病、鼠疫及鼠传相关的传染病</t>
  </si>
  <si>
    <t>麻风病监测</t>
  </si>
  <si>
    <t>疟疾等其他寄生虫病监测</t>
  </si>
  <si>
    <t>饮用水和环境卫生及学生常见病监测</t>
  </si>
  <si>
    <t>云浮市</t>
  </si>
  <si>
    <t>市直</t>
  </si>
  <si>
    <t>市人民医院</t>
  </si>
  <si>
    <t>市中医院</t>
  </si>
  <si>
    <t>市妇幼保健院</t>
  </si>
  <si>
    <t>市疾病预防控制中心</t>
  </si>
  <si>
    <t>市慢性病防治中心</t>
  </si>
  <si>
    <t>市中心血站</t>
  </si>
  <si>
    <t>市精神卫生中心</t>
  </si>
  <si>
    <t>市卫生健康服务中心</t>
  </si>
  <si>
    <t>云城区</t>
  </si>
  <si>
    <t>云安区</t>
  </si>
  <si>
    <t>表2</t>
  </si>
  <si>
    <r>
      <rPr>
        <sz val="26"/>
        <color theme="1"/>
        <rFont val="方正小标宋简体"/>
        <charset val="134"/>
      </rPr>
      <t>202</t>
    </r>
    <r>
      <rPr>
        <sz val="26"/>
        <color theme="1"/>
        <rFont val="方正小标宋简体"/>
        <charset val="134"/>
      </rPr>
      <t>4</t>
    </r>
    <r>
      <rPr>
        <sz val="26"/>
        <color theme="1"/>
        <rFont val="方正小标宋简体"/>
        <charset val="134"/>
      </rPr>
      <t>年中央财政补助扩大国家免疫规划项目资金测算表</t>
    </r>
  </si>
  <si>
    <t>补助资金测算全年合计</t>
  </si>
  <si>
    <t>国家免疫规划
常规免疫</t>
  </si>
  <si>
    <t>乙肝监测（划转基数中分4万到此项）</t>
  </si>
  <si>
    <t>疫苗供需和使用情况监测</t>
  </si>
  <si>
    <t>疑似预防接种异常反应监测</t>
  </si>
  <si>
    <t>印刷预防接种证</t>
  </si>
  <si>
    <t>任务数
（万剂次）</t>
  </si>
  <si>
    <t>补助金额</t>
  </si>
  <si>
    <t>任务数
（人）</t>
  </si>
  <si>
    <t>任务数
（例）</t>
  </si>
  <si>
    <t>任务数
（万本）</t>
  </si>
  <si>
    <t>云城区(云城区疾病预防控制中心)</t>
  </si>
  <si>
    <t>云安区(云安区疾病预防控制中心)</t>
  </si>
  <si>
    <t>备注：
1.国家免疫规划常规免疫补助标准：按任务数每例0.2元，包括新生儿和适龄人群免疫规划预防接种费用。
2.乙肝监测补助标准：按任务数每例500元，包括人员差旅费、试剂采购及检测、监测工具耗材、宣传、培训等费用。云浮云城区为国家级乙肝监测点，云城区乙肝监测工作由市疾控中心承担。
3.疫苗供需和使用情况监测，补助标准：按任务数每例0.2元，包括接种单位冷藏设施、信息系统和数字化门诊等设备配置及质保维护；新生儿和适龄人群建档；接种提醒、接种预约和科普知识宣传等短信与验证码发送；信息系统本地相关需求和功能的开发；疫苗冷链设备温度监测信息采集、预警；以及负责上述监测工作的疾控机构和接种单位的能力建设等。
4.预防接种异常反应监测工作，调查核实疑似预防接种异常反应发生情况和原因。包括人员差旅费、监测工具耗材等费用，按任务数每例200元。
5.印刷预防接种证标准：按每本3.16元。</t>
  </si>
  <si>
    <t xml:space="preserve">表3 </t>
  </si>
  <si>
    <t>2024年中央财政补助艾滋病防治项目资金测算汇总表</t>
  </si>
  <si>
    <t>监测检测、随访干预</t>
  </si>
  <si>
    <t>母婴阻断</t>
  </si>
  <si>
    <t>血液安全</t>
  </si>
  <si>
    <t>婚前孕前保健</t>
  </si>
  <si>
    <t>健康教育</t>
  </si>
  <si>
    <t>补助金额合计</t>
  </si>
  <si>
    <t>/</t>
  </si>
  <si>
    <t>表3-1</t>
  </si>
  <si>
    <t>2024年中央补助艾滋病防治项目专项资金分配表（监测检测随访干预）</t>
  </si>
  <si>
    <t>单位/地区</t>
  </si>
  <si>
    <t>补助资金
合计</t>
  </si>
  <si>
    <t>内容1.哨点监测</t>
  </si>
  <si>
    <t>内容2.监管场所监测</t>
  </si>
  <si>
    <t>内容3.咨询检测</t>
  </si>
  <si>
    <t>内容4.实验室设备配备</t>
  </si>
  <si>
    <t>内容5.实验室质控</t>
  </si>
  <si>
    <t>内容6.重点人群宣传教育干预</t>
  </si>
  <si>
    <t>内容7.暗娼和MSM干预</t>
  </si>
  <si>
    <t>内容8.戒毒药物维持治疗和针具交换</t>
  </si>
  <si>
    <t>内容9.性病综合防治</t>
  </si>
  <si>
    <t>内容10.随访管理与抗病毒治疗</t>
  </si>
  <si>
    <t>内容11.示范区</t>
  </si>
  <si>
    <t>内容12.消除丙肝危害</t>
  </si>
  <si>
    <t>艾滋病哨点数量（个）</t>
  </si>
  <si>
    <t>丙肝哨点数量（个）</t>
  </si>
  <si>
    <r>
      <rPr>
        <sz val="14"/>
        <rFont val="Times New Roman"/>
        <charset val="134"/>
      </rPr>
      <t>HIV</t>
    </r>
    <r>
      <rPr>
        <sz val="14"/>
        <rFont val="黑体"/>
        <charset val="134"/>
      </rPr>
      <t>新发感染检测（人）</t>
    </r>
  </si>
  <si>
    <t>补助
金额</t>
  </si>
  <si>
    <t>监测人数（人）</t>
  </si>
  <si>
    <t>咨询检测人数
（人次）</t>
  </si>
  <si>
    <t>公安临时抓获卖淫嫖娼人数
（人次）</t>
  </si>
  <si>
    <t>新增更新实验室设备（套）</t>
  </si>
  <si>
    <t>艾滋病检测实验室质控（个）</t>
  </si>
  <si>
    <t>疗效评估检测项目质控（个）</t>
  </si>
  <si>
    <t>覆盖县区数（个）</t>
  </si>
  <si>
    <t>干预
人数（人）</t>
  </si>
  <si>
    <t>美沙酮门诊数（个）</t>
  </si>
  <si>
    <t>监测
点数（个）</t>
  </si>
  <si>
    <t>性病门诊就诊人数（人）</t>
  </si>
  <si>
    <t>随访管理人数（人）</t>
  </si>
  <si>
    <t>首次随访感染者人数（人）</t>
  </si>
  <si>
    <t>治疗病人任务数（人）</t>
  </si>
  <si>
    <t>新增病人任务数（人）</t>
  </si>
  <si>
    <t>示范区（个）</t>
  </si>
  <si>
    <t>示范区专项工作数（个）</t>
  </si>
  <si>
    <t>HCV随访病例数</t>
  </si>
  <si>
    <t>云浮市（不含郁南县）</t>
  </si>
  <si>
    <t>云浮市人民医院</t>
  </si>
  <si>
    <t>云浮市疾病预防控制中心</t>
  </si>
  <si>
    <t>云浮市慢性病防治中心</t>
  </si>
  <si>
    <t>云城区疾病预防控制中心</t>
  </si>
  <si>
    <t>云城区高峰街社区卫生服务中心</t>
  </si>
  <si>
    <t>云安区人民医院</t>
  </si>
  <si>
    <t>云安区疾病预防控制中心</t>
  </si>
  <si>
    <t>云安区妇幼计生服务中心</t>
  </si>
  <si>
    <t>备注：1.哨点监测：艾滋病哨点3万/个、丙肝哨点4万/个；HIV新发感染检测：4万元/地市。
2.监管场所监测：监测10元/人；检测16.8元/人。
3.咨询检测：咨询10元/人；筛查16.8元/人；确诊70元/人，公安临时抓获卖淫嫖娼200元/人。
4.实验室设备配置：按实际需求申报配置。
5.实验室质控：3万元/地市，2万元/县区；所有艾滋病相关实验室按照要求接受国家或省、地、县组织开展的质控考核。
6.重点人群宣传教育干预：每地市3万元，督导调研1万元/地，3.13万元/县区。 
7.暗娼和MSM干预：干预60元/人，检测16.8元/人。
8.戒毒药物维持治疗和针具交换：MMT门诊4万元/个
9.性病综合防治：补助0.28万/县区。性病门诊干预：补助干预服务4元/人。
10.随访管理和抗病毒治疗：随访120元/人/年，CD4检测120元/人/年，首次随访60元/人/年。  抗病毒治疗：CD4检测120元/人/年（按2023年任务数的治疗人数计算）；收治医院艾滋病免费治疗补助（每治疗1人补助174元/年）（按2023年任务量的治疗人数计算）；收治医院一次性减免病人检测费用（60元/人，按2023年拟新增治疗人数计算）；收治医院医务人员治疗管理补助（每负责1个病人补助60元/年，补助医务人员，管理病人要包括提供抗病毒治疗、预防教育、档案信息管理等，按2023年任务量的治疗人数计算）；收治医院医务人员监督服药补助（每监督1个病人补助60元/年，补助监督服药人员，按2023年任务量的治疗人数计算）。
11.无
12.消除丙肝危害：补助5万/县区,HCV病例随访50元/人。</t>
  </si>
  <si>
    <t>表3-2</t>
  </si>
  <si>
    <t>2024年中央补助艾滋病防治项目专项资金分配表（预防艾滋病、梅毒和乙肝母婴传播）</t>
  </si>
  <si>
    <t>地区</t>
  </si>
  <si>
    <t>基本情况和任务数（人）</t>
  </si>
  <si>
    <t>艾滋病相关经费测算</t>
  </si>
  <si>
    <t>梅毒相关经费测算</t>
  </si>
  <si>
    <t>乙肝相关经费测算</t>
  </si>
  <si>
    <t>项目工作经费（包括培训、督导）</t>
  </si>
  <si>
    <t>总计（万元）</t>
  </si>
  <si>
    <t>2021年辖区活产儿数（自然年统计年报）</t>
  </si>
  <si>
    <t>2021年直报系统艾滋病感染孕产妇数</t>
  </si>
  <si>
    <t>2021年直报系统梅毒感染孕产妇及所生儿童母子对数</t>
  </si>
  <si>
    <t>2021年乙肝表面抗原阳性孕产妇所生儿童数</t>
  </si>
  <si>
    <t>总县（市/区）数</t>
  </si>
  <si>
    <r>
      <rPr>
        <sz val="18"/>
        <color rgb="FF000000"/>
        <rFont val="黑体"/>
        <charset val="134"/>
      </rPr>
      <t>2024</t>
    </r>
    <r>
      <rPr>
        <sz val="18"/>
        <color indexed="8"/>
        <rFont val="黑体"/>
        <charset val="134"/>
      </rPr>
      <t>年预计孕产妇筛查人数（人）</t>
    </r>
  </si>
  <si>
    <r>
      <rPr>
        <sz val="18"/>
        <color rgb="FF000000"/>
        <rFont val="黑体"/>
        <charset val="134"/>
      </rPr>
      <t>2024</t>
    </r>
    <r>
      <rPr>
        <sz val="18"/>
        <color indexed="8"/>
        <rFont val="黑体"/>
        <charset val="134"/>
      </rPr>
      <t>年预估艾滋病病毒感染孕产妇数</t>
    </r>
  </si>
  <si>
    <r>
      <rPr>
        <sz val="18"/>
        <color rgb="FF000000"/>
        <rFont val="黑体"/>
        <charset val="134"/>
      </rPr>
      <t>2024</t>
    </r>
    <r>
      <rPr>
        <sz val="18"/>
        <color indexed="8"/>
        <rFont val="黑体"/>
        <charset val="134"/>
      </rPr>
      <t>年预估梅毒感染孕产妇数及所生儿童母子对数（对）</t>
    </r>
  </si>
  <si>
    <t>2024年预估乙肝表面抗原阳性的孕产妇所生新生儿数</t>
  </si>
  <si>
    <t>孕产妇艾滋病筛查</t>
  </si>
  <si>
    <t>孕产妇艾滋病确诊及用药辅助检测</t>
  </si>
  <si>
    <t>HIV感染孕产妇及所生儿童抗病毒治疗</t>
  </si>
  <si>
    <t>儿童检测</t>
  </si>
  <si>
    <t>婴儿早期诊断</t>
  </si>
  <si>
    <t>HIV感染孕产妇孕产期保健及所生儿童保健</t>
  </si>
  <si>
    <t>孕产妇梅毒筛查</t>
  </si>
  <si>
    <t>孕产妇梅毒确诊及感染孕产妇非梅定量检测</t>
  </si>
  <si>
    <t>梅毒感染孕产妇及所生儿童治疗</t>
  </si>
  <si>
    <t>梅毒感染产妇所生儿童梅毒检测</t>
  </si>
  <si>
    <t>梅毒感染孕产妇孕产期保健及所生儿童保健</t>
  </si>
  <si>
    <t>孕产妇乙肝检测</t>
  </si>
  <si>
    <t>新生儿免疫球蛋白注射（含试剂、储存、运送等费用）</t>
  </si>
  <si>
    <t>感染孕产妇及所生儿童随访与检测</t>
  </si>
  <si>
    <t>a1源自2021年年报（户籍+非户籍）</t>
  </si>
  <si>
    <t>a2</t>
  </si>
  <si>
    <t>a3</t>
  </si>
  <si>
    <t>a4</t>
  </si>
  <si>
    <t>a5</t>
  </si>
  <si>
    <t>a6=国家补助总数×a1构成比</t>
  </si>
  <si>
    <t>a7=国家补助总数×a2构成比，根据已有报告、艾滋病疫情和工作开展情况估计,按其中预期有70%分娩，每一名产妇分娩1名婴儿计算</t>
  </si>
  <si>
    <t>a8=国家补助总数×a3构成比，根据已有报告、梅毒孕产妇疫情和工作开展情况测算，每名孕产妇分娩1个婴儿</t>
  </si>
  <si>
    <t>a9=国家补助总数×a4构成比，每名表面抗原阳性孕产妇分娩1名新生儿</t>
  </si>
  <si>
    <t>1.两种检测试剂（100%覆盖）：6元/人
2.复测（30%覆盖）：15元/人
3.咨询、检测孕产妇补助：6元/人</t>
  </si>
  <si>
    <t>1.确认试剂：180元/人(覆盖100%感染者)
2.CD4检测：60元/次×3次/人（70%覆盖）
3.病毒载量检测：430元/次×2次/人（70%覆盖）
4.用药期间生化检测：60元/人*4次（70%覆盖）
5.CD4检测和病毒载量检测除广州、深圳、佛山和阳江外，其余地市由省妇幼统一招标</t>
  </si>
  <si>
    <t>根据药品库存情况测算，以实际采购金额为准</t>
  </si>
  <si>
    <t>1.快速检测：15元/人/次*2种*2次
2.确认试剂：180元/人</t>
  </si>
  <si>
    <t>1.1000元/分娩的HIV感染产妇
2.300元/终止妊娠补助
3.3600元每名HIV感染产妇所生婴儿的奶粉补助
4.400元/对HIV感染孕产妇及婴儿采血、血样储存、运送， 随访由省级统筹。</t>
  </si>
  <si>
    <t>初检：7.5元/人</t>
  </si>
  <si>
    <t>1.复检（复检率按1.25*梅毒感染孕产妇数）：12元/人
2.感染孕产妇非梅定量检测：10元/次，平均4次/人</t>
  </si>
  <si>
    <t>1.240元/梅毒感染孕产妇
2.30元*100%所生婴儿
3.150元*10%所生婴儿（先天梅毒儿）</t>
  </si>
  <si>
    <t>30元/次，平均6次/人</t>
  </si>
  <si>
    <t>400元/对，随访由省级统筹。</t>
  </si>
  <si>
    <t>37元/人</t>
  </si>
  <si>
    <t>89元/人</t>
  </si>
  <si>
    <t>1.100元/人乙肝感染孕产妇所生儿童检测经费。                                       2.乙肝暴露儿童随访管理费用由省级统筹。</t>
  </si>
  <si>
    <t>10万/地市，8万/区县，（包括：培训，技术指导，督导，预防母婴传播信息系统管理、项目管理，安全认证相关经费、医务人员隔离防护设备及用品）</t>
  </si>
  <si>
    <t>备注：
1.孕产妇艾滋病筛查:两种检测试剂（100%覆盖）：6元/人；复测（30%覆盖）：15元/人；咨询、检测孕产妇补助：6元/人。按2023年预计孕产妇筛查人数计算。
2.孕产妇艾滋病确诊及用药辅助检测：确认试剂：180元/人(覆盖100%感染者)；CD4检测：60元/次×3次/人（70%覆盖）；病毒载量检测：430元/次×2次/人（70%覆盖）；用药期间生化检测：60元/人*4次（70%覆盖）。按2023年预估艾滋病病毒感染孕产妇数计算。
3.儿童检测：快速检测：15元/人/次*2种*2次；确认试剂：180元/人。按2023年预估艾滋病病毒感染孕产妇数计算。
4.HIV感染孕产妇孕产期保健及所生儿童保健：1000元/分娩的HIV感染产妇（70%覆盖）；300元/终止妊娠补助（30%覆盖）；3600元每名HIV感染产妇所生婴儿的奶粉补助（70%覆盖）；400元/对HIV感染孕产妇及婴儿采血、血样储存、运送， 随访由省级统筹。按2023年预估艾滋病病毒感染孕产妇数计算。
5.孕产妇梅毒筛查：初检7.5元/人。按2023年预计孕产妇筛查人数计算。
6.孕产妇梅毒确诊及感染孕产妇非梅定量检测：复检（复检率按1.25*梅毒感染孕产妇数）：12元/人；感染孕产妇非梅定量检测：10元/次，平均4次/人。按2023年预估梅毒感染孕产妇数及所生儿童母子对数计算。
7.梅毒感染孕产妇及所生儿童治疗：240元/梅毒感染孕产妇；30元*100%所生婴儿；150元*10%所生婴儿（先天梅毒儿）。按2023年预估梅毒感染孕产妇数及所生儿童母子对数计算。
8.梅毒感染产妇所生儿童梅毒检测：30元/次，平均6次/人。按2023年预估梅毒感染孕产妇数及所生儿童母子对数计算。
9.梅毒感染孕产妇孕产期保健及所生儿童保健:400元/对HIV感染孕产妇及婴儿采血、血样储存、运送， 随访由省级统筹。按2023年预估梅毒感染孕产妇数及所生儿童母子对数计算。
10.孕产妇乙肝检测:37元/人。按2023年预计孕产妇筛查人数计算。
11.新生儿免疫球蛋白注射:89元/人（含试剂、储存、运送等费用）。按2023年预估乙肝表面抗原阳性的孕产妇所生新生儿数计算。
12.感染孕产妇及所生儿童随访与检测:100元/人乙肝感染孕产妇所生儿童检测经费，乙肝暴露儿童随访管理费用由省级统筹。按2023年预估乙肝表面抗原阳性的孕产妇所生新生儿数计算。
13.项目工作经费：10万/地市，2万/区县，（包括：培训，技术指导，督导，预防母婴传播信息系统管理、档案管理，安全认证相关经费、医务人员隔离防护设备及用品）。</t>
  </si>
  <si>
    <t>表3-3</t>
  </si>
  <si>
    <t>提前下达2024年中央财政补助艾滋病防治项目资金测算表（血液安全）</t>
  </si>
  <si>
    <t>市县名称</t>
  </si>
  <si>
    <t>2022年采集血液(人次)</t>
  </si>
  <si>
    <t>按国家下达任务量人均分配次数</t>
  </si>
  <si>
    <t>按国家下达任务量2024年各地血液核酸检测（人次）</t>
  </si>
  <si>
    <t>人类嗜T淋巴细胞病毒检测（人次）</t>
  </si>
  <si>
    <t>血液筛查核酸检测试剂费用、人类嗜T淋巴细胞病毒检测费用（万元）</t>
  </si>
  <si>
    <t>无偿献血宣传、招募；储血点（库）设备、采血屋（车）、仪器设备更新维护（覆盖血站任务数）</t>
  </si>
  <si>
    <t>血液质量管理（全省采供血机构从业人员培训、工作会议、督导、信息化平台建设维护及稀有血型库建立等）（覆盖血站任务数）</t>
  </si>
  <si>
    <t>无偿献血宣传（含6.14世界献血者日宣传活动）、招募；全省采供血机构从业人员培训、工作会议、督导；信息化平台建设维护及稀有血型库建立、实验室室间质量评价；仪器设备更新维护等。（万元）</t>
  </si>
  <si>
    <t>预算合计（万元）</t>
  </si>
  <si>
    <t>按照70%提前下达资金（万元）</t>
  </si>
  <si>
    <t>云浮市中心血站</t>
  </si>
  <si>
    <t>备注：
1.以2022年血液采集人次作为核酸基数测算各血站2024年工作任务。血液筛查核酸检测试剂费用，核酸检测30元/人，人类嗜T淋巴细胞病毒检测8元/人，根据《国家卫生健康委办公厅关于印发“十四五”血站血液安全监测和风险预警工作方案的通知》要求，我省检测人次为采集人数的10%（除深圳市），检测费用总计为4186.8万元，各血液中心和中心血站可统筹使用。广州市除番禺区中心血站外均集中到广州血液中心开展集中检测，佛山市除顺德区中心血站外均集中到佛山市中心血站开展集中检测，清远市集中到清远市中心血站开展集中检测。提前下达资金按照全年测算资金总额的70%下发。
2、无偿献血宣传（含6.14世界献血者日宣传）、招募；血液质量管理；特殊血型筛查、献血屋建设、储血点（库）设备、采血车、仪器设备更新维护、血液制品抽检等经费按每个中心血站6万、血站分支机构和中心血库9万元安排。
3、血液质量管理项目、用于全省采供血机构从业人员培训、工作会议、督导、信息化平台建设维护及稀有血型库建立、实验室室间质量评价等。
4、深圳市工作任务和经费由中央财政另外下达。</t>
  </si>
  <si>
    <t>表3-4</t>
  </si>
  <si>
    <t>2024年中央补助艾滋病防治项目专项资金分配表（健康教育）</t>
  </si>
  <si>
    <t>项目内容</t>
  </si>
  <si>
    <t>2024年艾滋病防控健康教育宣传经费</t>
  </si>
  <si>
    <t>备注：1.印制艾滋病防控健康教育折页：0.28元/份；
      2.印制艾滋病防控健康教育海报：1.6元/张；
      3.印制艾滋病防控册子4元/册；
      4.开展有奖问答等新媒体宣传：10000元/次；
      5.购买艾滋病防控宣传展架：150元/个
      6.开展艾滋病防控知识宣传活动：3000元/场；</t>
  </si>
  <si>
    <r>
      <rPr>
        <sz val="22"/>
        <rFont val="黑体"/>
        <charset val="134"/>
      </rPr>
      <t>表</t>
    </r>
    <r>
      <rPr>
        <sz val="22"/>
        <rFont val="黑体"/>
        <charset val="134"/>
      </rPr>
      <t>3-2</t>
    </r>
  </si>
  <si>
    <t>2023年中央补助艾滋病防治项目专项资金分配表（预防艾滋病、梅毒和乙肝母婴传播）</t>
  </si>
  <si>
    <r>
      <rPr>
        <b/>
        <sz val="18"/>
        <color indexed="8"/>
        <rFont val="Arial"/>
        <charset val="134"/>
      </rPr>
      <t>2021</t>
    </r>
    <r>
      <rPr>
        <b/>
        <sz val="18"/>
        <color indexed="8"/>
        <rFont val="宋体"/>
        <charset val="134"/>
      </rPr>
      <t>年辖区活产儿数（自然年统计年报）</t>
    </r>
  </si>
  <si>
    <r>
      <rPr>
        <b/>
        <sz val="18"/>
        <color indexed="8"/>
        <rFont val="Arial"/>
        <charset val="134"/>
      </rPr>
      <t>2021</t>
    </r>
    <r>
      <rPr>
        <b/>
        <sz val="18"/>
        <color indexed="8"/>
        <rFont val="宋体"/>
        <charset val="134"/>
      </rPr>
      <t>年直报系统艾滋病感染孕产妇数</t>
    </r>
  </si>
  <si>
    <r>
      <rPr>
        <b/>
        <sz val="18"/>
        <color indexed="8"/>
        <rFont val="Arial"/>
        <charset val="134"/>
      </rPr>
      <t>2021</t>
    </r>
    <r>
      <rPr>
        <b/>
        <sz val="18"/>
        <color indexed="8"/>
        <rFont val="宋体"/>
        <charset val="134"/>
      </rPr>
      <t>年直报系统梅毒感染孕产妇及所生儿童母子对数</t>
    </r>
  </si>
  <si>
    <r>
      <rPr>
        <b/>
        <sz val="18"/>
        <color indexed="8"/>
        <rFont val="Arial"/>
        <charset val="134"/>
      </rPr>
      <t>2021</t>
    </r>
    <r>
      <rPr>
        <b/>
        <sz val="18"/>
        <color indexed="8"/>
        <rFont val="宋体"/>
        <charset val="134"/>
      </rPr>
      <t>年乙肝表面抗原阳性孕产妇所生儿童数</t>
    </r>
  </si>
  <si>
    <r>
      <rPr>
        <b/>
        <sz val="18"/>
        <color indexed="8"/>
        <rFont val="宋体"/>
        <charset val="134"/>
      </rPr>
      <t>总县（市</t>
    </r>
    <r>
      <rPr>
        <b/>
        <sz val="18"/>
        <color indexed="8"/>
        <rFont val="Arial"/>
        <charset val="134"/>
      </rPr>
      <t>/</t>
    </r>
    <r>
      <rPr>
        <b/>
        <sz val="18"/>
        <color indexed="8"/>
        <rFont val="宋体"/>
        <charset val="134"/>
      </rPr>
      <t>区）数</t>
    </r>
  </si>
  <si>
    <r>
      <rPr>
        <b/>
        <sz val="18"/>
        <color rgb="FF000000"/>
        <rFont val="Arial"/>
        <charset val="134"/>
      </rPr>
      <t>2023</t>
    </r>
    <r>
      <rPr>
        <b/>
        <sz val="18"/>
        <color rgb="FF000000"/>
        <rFont val="宋体"/>
        <charset val="134"/>
      </rPr>
      <t>年预计孕产妇筛查人数（人）</t>
    </r>
  </si>
  <si>
    <r>
      <rPr>
        <b/>
        <sz val="18"/>
        <color rgb="FF000000"/>
        <rFont val="Arial"/>
        <charset val="134"/>
      </rPr>
      <t>2023</t>
    </r>
    <r>
      <rPr>
        <b/>
        <sz val="18"/>
        <color rgb="FF000000"/>
        <rFont val="宋体"/>
        <charset val="134"/>
      </rPr>
      <t>年预估艾滋病病毒感染孕产妇数</t>
    </r>
  </si>
  <si>
    <r>
      <rPr>
        <b/>
        <sz val="18"/>
        <color rgb="FF000000"/>
        <rFont val="Arial"/>
        <charset val="134"/>
      </rPr>
      <t>2023</t>
    </r>
    <r>
      <rPr>
        <b/>
        <sz val="18"/>
        <color rgb="FF000000"/>
        <rFont val="宋体"/>
        <charset val="134"/>
      </rPr>
      <t>年预估梅毒感染孕产妇数及所生儿童母子对数（对）</t>
    </r>
  </si>
  <si>
    <t>2023年预估乙肝表面抗原阳性的孕产妇所生新生儿数</t>
  </si>
  <si>
    <r>
      <rPr>
        <b/>
        <sz val="18"/>
        <color indexed="8"/>
        <rFont val="Arial"/>
        <charset val="134"/>
      </rPr>
      <t>HIV</t>
    </r>
    <r>
      <rPr>
        <b/>
        <sz val="18"/>
        <color indexed="8"/>
        <rFont val="宋体"/>
        <charset val="134"/>
      </rPr>
      <t>感染孕产妇及所生儿童抗病毒治疗</t>
    </r>
  </si>
  <si>
    <r>
      <rPr>
        <sz val="16"/>
        <color indexed="8"/>
        <rFont val="Arial"/>
        <charset val="134"/>
      </rPr>
      <t>a1</t>
    </r>
    <r>
      <rPr>
        <sz val="16"/>
        <color indexed="8"/>
        <rFont val="宋体"/>
        <charset val="134"/>
      </rPr>
      <t>源自</t>
    </r>
    <r>
      <rPr>
        <sz val="16"/>
        <color indexed="8"/>
        <rFont val="Arial"/>
        <charset val="134"/>
      </rPr>
      <t>2021</t>
    </r>
    <r>
      <rPr>
        <sz val="16"/>
        <color indexed="8"/>
        <rFont val="宋体"/>
        <charset val="134"/>
      </rPr>
      <t>年年报（户籍</t>
    </r>
    <r>
      <rPr>
        <sz val="16"/>
        <color indexed="8"/>
        <rFont val="Arial"/>
        <charset val="134"/>
      </rPr>
      <t>+</t>
    </r>
    <r>
      <rPr>
        <sz val="16"/>
        <color indexed="8"/>
        <rFont val="宋体"/>
        <charset val="134"/>
      </rPr>
      <t>非户籍）</t>
    </r>
  </si>
  <si>
    <r>
      <rPr>
        <sz val="16"/>
        <color indexed="8"/>
        <rFont val="Arial"/>
        <charset val="134"/>
      </rPr>
      <t>a6=</t>
    </r>
    <r>
      <rPr>
        <sz val="16"/>
        <color indexed="8"/>
        <rFont val="宋体"/>
        <charset val="134"/>
      </rPr>
      <t>国家补助总数</t>
    </r>
    <r>
      <rPr>
        <sz val="16"/>
        <color indexed="8"/>
        <rFont val="Arial"/>
        <charset val="134"/>
      </rPr>
      <t>×a1</t>
    </r>
    <r>
      <rPr>
        <sz val="16"/>
        <color indexed="8"/>
        <rFont val="宋体"/>
        <charset val="134"/>
      </rPr>
      <t>构成比</t>
    </r>
  </si>
  <si>
    <r>
      <rPr>
        <sz val="16"/>
        <color indexed="8"/>
        <rFont val="宋体"/>
        <charset val="134"/>
      </rPr>
      <t>a7=国家补助总数×a2构成比，根据已有报告、艾滋病疫情和工作开展情况估计</t>
    </r>
    <r>
      <rPr>
        <sz val="16"/>
        <color indexed="8"/>
        <rFont val="Times New Roman"/>
        <charset val="134"/>
      </rPr>
      <t>,</t>
    </r>
    <r>
      <rPr>
        <sz val="16"/>
        <color indexed="8"/>
        <rFont val="宋体"/>
        <charset val="134"/>
      </rPr>
      <t>按其中预期有</t>
    </r>
    <r>
      <rPr>
        <sz val="16"/>
        <color indexed="8"/>
        <rFont val="Times New Roman"/>
        <charset val="134"/>
      </rPr>
      <t>70%</t>
    </r>
    <r>
      <rPr>
        <sz val="16"/>
        <color indexed="8"/>
        <rFont val="宋体"/>
        <charset val="134"/>
      </rPr>
      <t>分娩，每一名产妇分娩</t>
    </r>
    <r>
      <rPr>
        <sz val="16"/>
        <color indexed="8"/>
        <rFont val="Times New Roman"/>
        <charset val="134"/>
      </rPr>
      <t>1</t>
    </r>
    <r>
      <rPr>
        <sz val="16"/>
        <color indexed="8"/>
        <rFont val="宋体"/>
        <charset val="134"/>
      </rPr>
      <t>名婴儿计算</t>
    </r>
  </si>
  <si>
    <r>
      <rPr>
        <sz val="16"/>
        <color indexed="8"/>
        <rFont val="Arial"/>
        <charset val="134"/>
      </rPr>
      <t>a8=</t>
    </r>
    <r>
      <rPr>
        <sz val="16"/>
        <color indexed="8"/>
        <rFont val="宋体"/>
        <charset val="134"/>
      </rPr>
      <t>国家补助总数</t>
    </r>
    <r>
      <rPr>
        <sz val="16"/>
        <color indexed="8"/>
        <rFont val="Arial"/>
        <charset val="134"/>
      </rPr>
      <t>×a3</t>
    </r>
    <r>
      <rPr>
        <sz val="16"/>
        <color indexed="8"/>
        <rFont val="宋体"/>
        <charset val="134"/>
      </rPr>
      <t>构成比，根据已有报告、梅毒孕产妇疫情和工作开展情况测算，每名孕产妇分娩1个婴儿</t>
    </r>
  </si>
  <si>
    <r>
      <rPr>
        <sz val="16"/>
        <color indexed="8"/>
        <rFont val="Arial"/>
        <charset val="134"/>
      </rPr>
      <t>a9=</t>
    </r>
    <r>
      <rPr>
        <sz val="16"/>
        <color indexed="8"/>
        <rFont val="宋体"/>
        <charset val="134"/>
      </rPr>
      <t>国家补助总数</t>
    </r>
    <r>
      <rPr>
        <sz val="16"/>
        <color indexed="8"/>
        <rFont val="Arial"/>
        <charset val="134"/>
      </rPr>
      <t>×a4</t>
    </r>
    <r>
      <rPr>
        <sz val="16"/>
        <color indexed="8"/>
        <rFont val="宋体"/>
        <charset val="134"/>
      </rPr>
      <t>构成比，每名表面抗原阳性孕产妇分娩1名新生儿</t>
    </r>
  </si>
  <si>
    <r>
      <rPr>
        <sz val="16"/>
        <color indexed="8"/>
        <rFont val="Times New Roman"/>
        <charset val="134"/>
      </rPr>
      <t>1</t>
    </r>
    <r>
      <rPr>
        <sz val="16"/>
        <color indexed="8"/>
        <rFont val="宋体"/>
        <charset val="134"/>
      </rPr>
      <t>、两种检测试剂（</t>
    </r>
    <r>
      <rPr>
        <sz val="16"/>
        <color indexed="8"/>
        <rFont val="Times New Roman"/>
        <charset val="134"/>
      </rPr>
      <t>100%</t>
    </r>
    <r>
      <rPr>
        <sz val="16"/>
        <color indexed="8"/>
        <rFont val="宋体"/>
        <charset val="134"/>
      </rPr>
      <t>覆盖）：</t>
    </r>
    <r>
      <rPr>
        <sz val="16"/>
        <color indexed="8"/>
        <rFont val="Times New Roman"/>
        <charset val="134"/>
      </rPr>
      <t>6</t>
    </r>
    <r>
      <rPr>
        <sz val="16"/>
        <color indexed="8"/>
        <rFont val="宋体"/>
        <charset val="134"/>
      </rPr>
      <t>元</t>
    </r>
    <r>
      <rPr>
        <sz val="16"/>
        <color indexed="8"/>
        <rFont val="Times New Roman"/>
        <charset val="134"/>
      </rPr>
      <t>/</t>
    </r>
    <r>
      <rPr>
        <sz val="16"/>
        <color indexed="8"/>
        <rFont val="宋体"/>
        <charset val="134"/>
      </rPr>
      <t xml:space="preserve">人
</t>
    </r>
    <r>
      <rPr>
        <sz val="16"/>
        <color indexed="8"/>
        <rFont val="Times New Roman"/>
        <charset val="134"/>
      </rPr>
      <t>2</t>
    </r>
    <r>
      <rPr>
        <sz val="16"/>
        <color indexed="8"/>
        <rFont val="宋体"/>
        <charset val="134"/>
      </rPr>
      <t>、复测（</t>
    </r>
    <r>
      <rPr>
        <sz val="16"/>
        <color indexed="8"/>
        <rFont val="Times New Roman"/>
        <charset val="134"/>
      </rPr>
      <t>30%</t>
    </r>
    <r>
      <rPr>
        <sz val="16"/>
        <color indexed="8"/>
        <rFont val="宋体"/>
        <charset val="134"/>
      </rPr>
      <t>覆盖）：</t>
    </r>
    <r>
      <rPr>
        <sz val="16"/>
        <color indexed="8"/>
        <rFont val="Times New Roman"/>
        <charset val="134"/>
      </rPr>
      <t>15</t>
    </r>
    <r>
      <rPr>
        <sz val="16"/>
        <color indexed="8"/>
        <rFont val="宋体"/>
        <charset val="134"/>
      </rPr>
      <t>元</t>
    </r>
    <r>
      <rPr>
        <sz val="16"/>
        <color indexed="8"/>
        <rFont val="Times New Roman"/>
        <charset val="134"/>
      </rPr>
      <t>/</t>
    </r>
    <r>
      <rPr>
        <sz val="16"/>
        <color indexed="8"/>
        <rFont val="宋体"/>
        <charset val="134"/>
      </rPr>
      <t xml:space="preserve">人
</t>
    </r>
    <r>
      <rPr>
        <sz val="16"/>
        <color indexed="8"/>
        <rFont val="Times New Roman"/>
        <charset val="134"/>
      </rPr>
      <t>3</t>
    </r>
    <r>
      <rPr>
        <sz val="16"/>
        <color indexed="8"/>
        <rFont val="宋体"/>
        <charset val="134"/>
      </rPr>
      <t>、咨询、检测孕产妇补助：</t>
    </r>
    <r>
      <rPr>
        <sz val="16"/>
        <color indexed="8"/>
        <rFont val="Times New Roman"/>
        <charset val="134"/>
      </rPr>
      <t>6</t>
    </r>
    <r>
      <rPr>
        <sz val="16"/>
        <color indexed="8"/>
        <rFont val="宋体"/>
        <charset val="134"/>
      </rPr>
      <t>元</t>
    </r>
    <r>
      <rPr>
        <sz val="16"/>
        <color indexed="8"/>
        <rFont val="Times New Roman"/>
        <charset val="134"/>
      </rPr>
      <t>/</t>
    </r>
    <r>
      <rPr>
        <sz val="16"/>
        <color indexed="8"/>
        <rFont val="宋体"/>
        <charset val="134"/>
      </rPr>
      <t>人</t>
    </r>
  </si>
  <si>
    <r>
      <rPr>
        <sz val="16"/>
        <color rgb="FF000000"/>
        <rFont val="Times New Roman"/>
        <charset val="134"/>
      </rPr>
      <t>1</t>
    </r>
    <r>
      <rPr>
        <sz val="16"/>
        <color rgb="FF000000"/>
        <rFont val="宋体"/>
        <charset val="134"/>
      </rPr>
      <t>、确认试剂：</t>
    </r>
    <r>
      <rPr>
        <sz val="16"/>
        <color rgb="FF000000"/>
        <rFont val="Times New Roman"/>
        <charset val="134"/>
      </rPr>
      <t>180</t>
    </r>
    <r>
      <rPr>
        <sz val="16"/>
        <color rgb="FF000000"/>
        <rFont val="宋体"/>
        <charset val="134"/>
      </rPr>
      <t>元</t>
    </r>
    <r>
      <rPr>
        <sz val="16"/>
        <color rgb="FF000000"/>
        <rFont val="Times New Roman"/>
        <charset val="134"/>
      </rPr>
      <t>/</t>
    </r>
    <r>
      <rPr>
        <sz val="16"/>
        <color rgb="FF000000"/>
        <rFont val="宋体"/>
        <charset val="134"/>
      </rPr>
      <t>人</t>
    </r>
    <r>
      <rPr>
        <sz val="16"/>
        <color rgb="FF000000"/>
        <rFont val="Times New Roman"/>
        <charset val="134"/>
      </rPr>
      <t>(</t>
    </r>
    <r>
      <rPr>
        <sz val="16"/>
        <color rgb="FF000000"/>
        <rFont val="宋体"/>
        <charset val="134"/>
      </rPr>
      <t>覆盖</t>
    </r>
    <r>
      <rPr>
        <sz val="16"/>
        <color rgb="FF000000"/>
        <rFont val="Times New Roman"/>
        <charset val="134"/>
      </rPr>
      <t>100%</t>
    </r>
    <r>
      <rPr>
        <sz val="16"/>
        <color rgb="FF000000"/>
        <rFont val="宋体"/>
        <charset val="134"/>
      </rPr>
      <t>感染者</t>
    </r>
    <r>
      <rPr>
        <sz val="16"/>
        <color rgb="FF000000"/>
        <rFont val="Times New Roman"/>
        <charset val="134"/>
      </rPr>
      <t>)</t>
    </r>
    <r>
      <rPr>
        <sz val="16"/>
        <color rgb="FF000000"/>
        <rFont val="宋体"/>
        <charset val="134"/>
      </rPr>
      <t xml:space="preserve">
</t>
    </r>
    <r>
      <rPr>
        <sz val="16"/>
        <color rgb="FF000000"/>
        <rFont val="Times New Roman"/>
        <charset val="134"/>
      </rPr>
      <t>2</t>
    </r>
    <r>
      <rPr>
        <sz val="16"/>
        <color rgb="FF000000"/>
        <rFont val="宋体"/>
        <charset val="134"/>
      </rPr>
      <t>、</t>
    </r>
    <r>
      <rPr>
        <sz val="16"/>
        <color rgb="FF000000"/>
        <rFont val="Times New Roman"/>
        <charset val="134"/>
      </rPr>
      <t>CD4</t>
    </r>
    <r>
      <rPr>
        <sz val="16"/>
        <color rgb="FF000000"/>
        <rFont val="宋体"/>
        <charset val="134"/>
      </rPr>
      <t>检测：</t>
    </r>
    <r>
      <rPr>
        <sz val="16"/>
        <color rgb="FF000000"/>
        <rFont val="Times New Roman"/>
        <charset val="134"/>
      </rPr>
      <t>60</t>
    </r>
    <r>
      <rPr>
        <sz val="16"/>
        <color rgb="FF000000"/>
        <rFont val="宋体"/>
        <charset val="134"/>
      </rPr>
      <t>元</t>
    </r>
    <r>
      <rPr>
        <sz val="16"/>
        <color rgb="FF000000"/>
        <rFont val="Times New Roman"/>
        <charset val="134"/>
      </rPr>
      <t>/</t>
    </r>
    <r>
      <rPr>
        <sz val="16"/>
        <color rgb="FF000000"/>
        <rFont val="宋体"/>
        <charset val="134"/>
      </rPr>
      <t>次</t>
    </r>
    <r>
      <rPr>
        <sz val="16"/>
        <color rgb="FF000000"/>
        <rFont val="Times New Roman"/>
        <charset val="134"/>
      </rPr>
      <t>×3</t>
    </r>
    <r>
      <rPr>
        <sz val="16"/>
        <color rgb="FF000000"/>
        <rFont val="宋体"/>
        <charset val="134"/>
      </rPr>
      <t>次</t>
    </r>
    <r>
      <rPr>
        <sz val="16"/>
        <color rgb="FF000000"/>
        <rFont val="Times New Roman"/>
        <charset val="134"/>
      </rPr>
      <t>/</t>
    </r>
    <r>
      <rPr>
        <sz val="16"/>
        <color rgb="FF000000"/>
        <rFont val="宋体"/>
        <charset val="134"/>
      </rPr>
      <t>人（</t>
    </r>
    <r>
      <rPr>
        <sz val="16"/>
        <color rgb="FF000000"/>
        <rFont val="Times New Roman"/>
        <charset val="134"/>
      </rPr>
      <t>7</t>
    </r>
    <r>
      <rPr>
        <sz val="16"/>
        <color rgb="FF000000"/>
        <rFont val="宋体"/>
        <charset val="134"/>
      </rPr>
      <t>0%覆盖）</t>
    </r>
    <r>
      <rPr>
        <sz val="16"/>
        <color rgb="FF000000"/>
        <rFont val="Times New Roman"/>
        <charset val="134"/>
      </rPr>
      <t xml:space="preserve">
3</t>
    </r>
    <r>
      <rPr>
        <sz val="16"/>
        <color rgb="FF000000"/>
        <rFont val="宋体"/>
        <charset val="134"/>
      </rPr>
      <t>、病毒载量检测：</t>
    </r>
    <r>
      <rPr>
        <sz val="16"/>
        <color rgb="FF000000"/>
        <rFont val="Times New Roman"/>
        <charset val="134"/>
      </rPr>
      <t>430</t>
    </r>
    <r>
      <rPr>
        <sz val="16"/>
        <color rgb="FF000000"/>
        <rFont val="宋体"/>
        <charset val="134"/>
      </rPr>
      <t>元</t>
    </r>
    <r>
      <rPr>
        <sz val="16"/>
        <color rgb="FF000000"/>
        <rFont val="Times New Roman"/>
        <charset val="134"/>
      </rPr>
      <t>/</t>
    </r>
    <r>
      <rPr>
        <sz val="16"/>
        <color rgb="FF000000"/>
        <rFont val="宋体"/>
        <charset val="134"/>
      </rPr>
      <t>次</t>
    </r>
    <r>
      <rPr>
        <sz val="16"/>
        <color rgb="FF000000"/>
        <rFont val="Times New Roman"/>
        <charset val="134"/>
      </rPr>
      <t>×2</t>
    </r>
    <r>
      <rPr>
        <sz val="16"/>
        <color rgb="FF000000"/>
        <rFont val="宋体"/>
        <charset val="134"/>
      </rPr>
      <t>次</t>
    </r>
    <r>
      <rPr>
        <sz val="16"/>
        <color rgb="FF000000"/>
        <rFont val="Times New Roman"/>
        <charset val="134"/>
      </rPr>
      <t>/</t>
    </r>
    <r>
      <rPr>
        <sz val="16"/>
        <color rgb="FF000000"/>
        <rFont val="宋体"/>
        <charset val="134"/>
      </rPr>
      <t>人（70%覆盖）</t>
    </r>
    <r>
      <rPr>
        <sz val="16"/>
        <color rgb="FF000000"/>
        <rFont val="Times New Roman"/>
        <charset val="134"/>
      </rPr>
      <t xml:space="preserve">
4</t>
    </r>
    <r>
      <rPr>
        <sz val="16"/>
        <color rgb="FF000000"/>
        <rFont val="宋体"/>
        <charset val="134"/>
      </rPr>
      <t>、用药期间生化检测：</t>
    </r>
    <r>
      <rPr>
        <sz val="16"/>
        <color rgb="FF000000"/>
        <rFont val="Times New Roman"/>
        <charset val="134"/>
      </rPr>
      <t>60</t>
    </r>
    <r>
      <rPr>
        <sz val="16"/>
        <color rgb="FF000000"/>
        <rFont val="宋体"/>
        <charset val="134"/>
      </rPr>
      <t>元</t>
    </r>
    <r>
      <rPr>
        <sz val="16"/>
        <color rgb="FF000000"/>
        <rFont val="Times New Roman"/>
        <charset val="134"/>
      </rPr>
      <t>/</t>
    </r>
    <r>
      <rPr>
        <sz val="16"/>
        <color rgb="FF000000"/>
        <rFont val="宋体"/>
        <charset val="134"/>
      </rPr>
      <t>人</t>
    </r>
    <r>
      <rPr>
        <sz val="16"/>
        <color rgb="FF000000"/>
        <rFont val="Times New Roman"/>
        <charset val="134"/>
      </rPr>
      <t>*4</t>
    </r>
    <r>
      <rPr>
        <sz val="16"/>
        <color rgb="FF000000"/>
        <rFont val="宋体"/>
        <charset val="134"/>
      </rPr>
      <t>次（70%覆盖）</t>
    </r>
    <r>
      <rPr>
        <sz val="16"/>
        <color rgb="FF000000"/>
        <rFont val="Times New Roman"/>
        <charset val="134"/>
      </rPr>
      <t xml:space="preserve">
5</t>
    </r>
    <r>
      <rPr>
        <sz val="16"/>
        <color rgb="FF000000"/>
        <rFont val="宋体"/>
        <charset val="134"/>
      </rPr>
      <t>、</t>
    </r>
    <r>
      <rPr>
        <sz val="16"/>
        <color rgb="FF000000"/>
        <rFont val="Times New Roman"/>
        <charset val="134"/>
      </rPr>
      <t>CD4</t>
    </r>
    <r>
      <rPr>
        <sz val="16"/>
        <color rgb="FF000000"/>
        <rFont val="宋体"/>
        <charset val="134"/>
      </rPr>
      <t>检测和病毒载量检测除广州、深圳和佛山外，其余地市由省妇幼统一招标</t>
    </r>
  </si>
  <si>
    <r>
      <rPr>
        <sz val="16"/>
        <color rgb="FF000000"/>
        <rFont val="Times New Roman"/>
        <charset val="134"/>
      </rPr>
      <t>1</t>
    </r>
    <r>
      <rPr>
        <sz val="16"/>
        <color rgb="FF000000"/>
        <rFont val="宋体"/>
        <charset val="134"/>
      </rPr>
      <t>、快速检测：</t>
    </r>
    <r>
      <rPr>
        <sz val="16"/>
        <color rgb="FF000000"/>
        <rFont val="Times New Roman"/>
        <charset val="134"/>
      </rPr>
      <t>15</t>
    </r>
    <r>
      <rPr>
        <sz val="16"/>
        <color rgb="FF000000"/>
        <rFont val="宋体"/>
        <charset val="134"/>
      </rPr>
      <t>元</t>
    </r>
    <r>
      <rPr>
        <sz val="16"/>
        <color rgb="FF000000"/>
        <rFont val="Times New Roman"/>
        <charset val="134"/>
      </rPr>
      <t>/</t>
    </r>
    <r>
      <rPr>
        <sz val="16"/>
        <color rgb="FF000000"/>
        <rFont val="宋体"/>
        <charset val="134"/>
      </rPr>
      <t>人</t>
    </r>
    <r>
      <rPr>
        <sz val="16"/>
        <color rgb="FF000000"/>
        <rFont val="Times New Roman"/>
        <charset val="134"/>
      </rPr>
      <t>/</t>
    </r>
    <r>
      <rPr>
        <sz val="16"/>
        <color rgb="FF000000"/>
        <rFont val="宋体"/>
        <charset val="134"/>
      </rPr>
      <t>次</t>
    </r>
    <r>
      <rPr>
        <sz val="16"/>
        <color rgb="FF000000"/>
        <rFont val="Times New Roman"/>
        <charset val="134"/>
      </rPr>
      <t>*2</t>
    </r>
    <r>
      <rPr>
        <sz val="16"/>
        <color rgb="FF000000"/>
        <rFont val="宋体"/>
        <charset val="134"/>
      </rPr>
      <t>种</t>
    </r>
    <r>
      <rPr>
        <sz val="16"/>
        <color rgb="FF000000"/>
        <rFont val="Times New Roman"/>
        <charset val="134"/>
      </rPr>
      <t>*2</t>
    </r>
    <r>
      <rPr>
        <sz val="16"/>
        <color rgb="FF000000"/>
        <rFont val="宋体"/>
        <charset val="134"/>
      </rPr>
      <t xml:space="preserve">次
</t>
    </r>
    <r>
      <rPr>
        <sz val="16"/>
        <color rgb="FF000000"/>
        <rFont val="Times New Roman"/>
        <charset val="134"/>
      </rPr>
      <t>2</t>
    </r>
    <r>
      <rPr>
        <sz val="16"/>
        <color rgb="FF000000"/>
        <rFont val="宋体"/>
        <charset val="134"/>
      </rPr>
      <t>、确认试剂：</t>
    </r>
    <r>
      <rPr>
        <sz val="16"/>
        <color rgb="FF000000"/>
        <rFont val="Times New Roman"/>
        <charset val="134"/>
      </rPr>
      <t>180</t>
    </r>
    <r>
      <rPr>
        <sz val="16"/>
        <color rgb="FF000000"/>
        <rFont val="宋体"/>
        <charset val="134"/>
      </rPr>
      <t>元</t>
    </r>
    <r>
      <rPr>
        <sz val="16"/>
        <color rgb="FF000000"/>
        <rFont val="Times New Roman"/>
        <charset val="134"/>
      </rPr>
      <t>/</t>
    </r>
    <r>
      <rPr>
        <sz val="16"/>
        <color rgb="FF000000"/>
        <rFont val="宋体"/>
        <charset val="134"/>
      </rPr>
      <t>人</t>
    </r>
  </si>
  <si>
    <r>
      <rPr>
        <b/>
        <sz val="16"/>
        <color indexed="8"/>
        <rFont val="宋体"/>
        <charset val="134"/>
      </rPr>
      <t>1</t>
    </r>
    <r>
      <rPr>
        <sz val="16"/>
        <color indexed="8"/>
        <rFont val="宋体"/>
        <charset val="134"/>
      </rPr>
      <t>、</t>
    </r>
    <r>
      <rPr>
        <sz val="16"/>
        <color indexed="8"/>
        <rFont val="Times New Roman"/>
        <charset val="134"/>
      </rPr>
      <t>1000</t>
    </r>
    <r>
      <rPr>
        <sz val="16"/>
        <color indexed="8"/>
        <rFont val="宋体"/>
        <charset val="134"/>
      </rPr>
      <t>元</t>
    </r>
    <r>
      <rPr>
        <sz val="16"/>
        <color indexed="8"/>
        <rFont val="Times New Roman"/>
        <charset val="134"/>
      </rPr>
      <t>/</t>
    </r>
    <r>
      <rPr>
        <sz val="16"/>
        <color indexed="8"/>
        <rFont val="宋体"/>
        <charset val="134"/>
      </rPr>
      <t>分娩的</t>
    </r>
    <r>
      <rPr>
        <sz val="16"/>
        <color indexed="8"/>
        <rFont val="Times New Roman"/>
        <charset val="134"/>
      </rPr>
      <t>HIV</t>
    </r>
    <r>
      <rPr>
        <sz val="16"/>
        <color indexed="8"/>
        <rFont val="宋体"/>
        <charset val="134"/>
      </rPr>
      <t xml:space="preserve">感染产妇
</t>
    </r>
    <r>
      <rPr>
        <sz val="16"/>
        <color indexed="8"/>
        <rFont val="Times New Roman"/>
        <charset val="134"/>
      </rPr>
      <t>2</t>
    </r>
    <r>
      <rPr>
        <sz val="16"/>
        <color indexed="8"/>
        <rFont val="宋体"/>
        <charset val="134"/>
      </rPr>
      <t>、</t>
    </r>
    <r>
      <rPr>
        <sz val="16"/>
        <color indexed="8"/>
        <rFont val="Times New Roman"/>
        <charset val="134"/>
      </rPr>
      <t>300</t>
    </r>
    <r>
      <rPr>
        <sz val="16"/>
        <color indexed="8"/>
        <rFont val="宋体"/>
        <charset val="134"/>
      </rPr>
      <t>元</t>
    </r>
    <r>
      <rPr>
        <sz val="16"/>
        <color indexed="8"/>
        <rFont val="Times New Roman"/>
        <charset val="134"/>
      </rPr>
      <t>/</t>
    </r>
    <r>
      <rPr>
        <sz val="16"/>
        <color indexed="8"/>
        <rFont val="宋体"/>
        <charset val="134"/>
      </rPr>
      <t xml:space="preserve">终止妊娠补助
</t>
    </r>
    <r>
      <rPr>
        <sz val="16"/>
        <color indexed="8"/>
        <rFont val="Times New Roman"/>
        <charset val="134"/>
      </rPr>
      <t>3</t>
    </r>
    <r>
      <rPr>
        <sz val="16"/>
        <color indexed="8"/>
        <rFont val="宋体"/>
        <charset val="134"/>
      </rPr>
      <t>、</t>
    </r>
    <r>
      <rPr>
        <sz val="16"/>
        <color indexed="8"/>
        <rFont val="Times New Roman"/>
        <charset val="134"/>
      </rPr>
      <t>3600</t>
    </r>
    <r>
      <rPr>
        <sz val="16"/>
        <color indexed="8"/>
        <rFont val="宋体"/>
        <charset val="134"/>
      </rPr>
      <t>元每名</t>
    </r>
    <r>
      <rPr>
        <sz val="16"/>
        <color indexed="8"/>
        <rFont val="Times New Roman"/>
        <charset val="134"/>
      </rPr>
      <t>HIV</t>
    </r>
    <r>
      <rPr>
        <sz val="16"/>
        <color indexed="8"/>
        <rFont val="宋体"/>
        <charset val="134"/>
      </rPr>
      <t xml:space="preserve">感染产妇所生婴儿的奶粉补助
</t>
    </r>
    <r>
      <rPr>
        <sz val="16"/>
        <color indexed="8"/>
        <rFont val="Times New Roman"/>
        <charset val="134"/>
      </rPr>
      <t>4.1200</t>
    </r>
    <r>
      <rPr>
        <sz val="16"/>
        <color indexed="8"/>
        <rFont val="宋体"/>
        <charset val="134"/>
      </rPr>
      <t>元</t>
    </r>
    <r>
      <rPr>
        <sz val="16"/>
        <color indexed="8"/>
        <rFont val="Times New Roman"/>
        <charset val="134"/>
      </rPr>
      <t>/</t>
    </r>
    <r>
      <rPr>
        <sz val="16"/>
        <color indexed="8"/>
        <rFont val="宋体"/>
        <charset val="134"/>
      </rPr>
      <t>对</t>
    </r>
    <r>
      <rPr>
        <sz val="16"/>
        <color indexed="8"/>
        <rFont val="Times New Roman"/>
        <charset val="134"/>
      </rPr>
      <t xml:space="preserve"> HIV</t>
    </r>
    <r>
      <rPr>
        <sz val="16"/>
        <color indexed="8"/>
        <rFont val="宋体"/>
        <charset val="134"/>
      </rPr>
      <t>感染孕产妇及婴儿采血、血样储存、运送及随访</t>
    </r>
  </si>
  <si>
    <r>
      <rPr>
        <sz val="16"/>
        <color rgb="FF000000"/>
        <rFont val="Times New Roman"/>
        <charset val="134"/>
      </rPr>
      <t>1</t>
    </r>
    <r>
      <rPr>
        <sz val="16"/>
        <color rgb="FF000000"/>
        <rFont val="宋体"/>
        <charset val="134"/>
      </rPr>
      <t>、复检（复检率按</t>
    </r>
    <r>
      <rPr>
        <sz val="16"/>
        <color rgb="FF000000"/>
        <rFont val="Times New Roman"/>
        <charset val="134"/>
      </rPr>
      <t>1.25*</t>
    </r>
    <r>
      <rPr>
        <sz val="16"/>
        <color rgb="FF000000"/>
        <rFont val="宋体"/>
        <charset val="134"/>
      </rPr>
      <t>梅毒感染孕产妇数）：</t>
    </r>
    <r>
      <rPr>
        <sz val="16"/>
        <color rgb="FF000000"/>
        <rFont val="Times New Roman"/>
        <charset val="134"/>
      </rPr>
      <t>12</t>
    </r>
    <r>
      <rPr>
        <sz val="16"/>
        <color rgb="FF000000"/>
        <rFont val="宋体"/>
        <charset val="134"/>
      </rPr>
      <t>元</t>
    </r>
    <r>
      <rPr>
        <sz val="16"/>
        <color rgb="FF000000"/>
        <rFont val="Times New Roman"/>
        <charset val="134"/>
      </rPr>
      <t>/</t>
    </r>
    <r>
      <rPr>
        <sz val="16"/>
        <color rgb="FF000000"/>
        <rFont val="宋体"/>
        <charset val="134"/>
      </rPr>
      <t xml:space="preserve">人
</t>
    </r>
    <r>
      <rPr>
        <sz val="16"/>
        <color rgb="FF000000"/>
        <rFont val="Times New Roman"/>
        <charset val="134"/>
      </rPr>
      <t>2.</t>
    </r>
    <r>
      <rPr>
        <sz val="16"/>
        <color rgb="FF000000"/>
        <rFont val="宋体"/>
        <charset val="134"/>
      </rPr>
      <t>感染孕产妇非梅定量检测：</t>
    </r>
    <r>
      <rPr>
        <sz val="16"/>
        <color rgb="FF000000"/>
        <rFont val="Times New Roman"/>
        <charset val="134"/>
      </rPr>
      <t>10</t>
    </r>
    <r>
      <rPr>
        <sz val="16"/>
        <color rgb="FF000000"/>
        <rFont val="宋体"/>
        <charset val="134"/>
      </rPr>
      <t>元</t>
    </r>
    <r>
      <rPr>
        <sz val="16"/>
        <color rgb="FF000000"/>
        <rFont val="Times New Roman"/>
        <charset val="134"/>
      </rPr>
      <t>/</t>
    </r>
    <r>
      <rPr>
        <sz val="16"/>
        <color rgb="FF000000"/>
        <rFont val="宋体"/>
        <charset val="134"/>
      </rPr>
      <t>次，平均</t>
    </r>
    <r>
      <rPr>
        <sz val="16"/>
        <color rgb="FF000000"/>
        <rFont val="Times New Roman"/>
        <charset val="134"/>
      </rPr>
      <t>4</t>
    </r>
    <r>
      <rPr>
        <sz val="16"/>
        <color rgb="FF000000"/>
        <rFont val="宋体"/>
        <charset val="134"/>
      </rPr>
      <t>次</t>
    </r>
    <r>
      <rPr>
        <sz val="16"/>
        <color rgb="FF000000"/>
        <rFont val="Times New Roman"/>
        <charset val="134"/>
      </rPr>
      <t>/</t>
    </r>
    <r>
      <rPr>
        <sz val="16"/>
        <color rgb="FF000000"/>
        <rFont val="宋体"/>
        <charset val="134"/>
      </rPr>
      <t>人</t>
    </r>
  </si>
  <si>
    <r>
      <rPr>
        <sz val="16"/>
        <color rgb="FF000000"/>
        <rFont val="Times New Roman"/>
        <charset val="134"/>
      </rPr>
      <t>1</t>
    </r>
    <r>
      <rPr>
        <sz val="16"/>
        <color rgb="FF000000"/>
        <rFont val="宋体"/>
        <charset val="134"/>
      </rPr>
      <t>、</t>
    </r>
    <r>
      <rPr>
        <sz val="16"/>
        <color rgb="FF000000"/>
        <rFont val="Times New Roman"/>
        <charset val="134"/>
      </rPr>
      <t>240</t>
    </r>
    <r>
      <rPr>
        <sz val="16"/>
        <color rgb="FF000000"/>
        <rFont val="宋体"/>
        <charset val="134"/>
      </rPr>
      <t>元</t>
    </r>
    <r>
      <rPr>
        <sz val="16"/>
        <color rgb="FF000000"/>
        <rFont val="Times New Roman"/>
        <charset val="134"/>
      </rPr>
      <t>/</t>
    </r>
    <r>
      <rPr>
        <sz val="16"/>
        <color rgb="FF000000"/>
        <rFont val="宋体"/>
        <charset val="134"/>
      </rPr>
      <t xml:space="preserve">梅毒感染孕产妇
</t>
    </r>
    <r>
      <rPr>
        <sz val="16"/>
        <color rgb="FF000000"/>
        <rFont val="Times New Roman"/>
        <charset val="134"/>
      </rPr>
      <t>2</t>
    </r>
    <r>
      <rPr>
        <sz val="16"/>
        <color rgb="FF000000"/>
        <rFont val="宋体"/>
        <charset val="134"/>
      </rPr>
      <t>、</t>
    </r>
    <r>
      <rPr>
        <sz val="16"/>
        <color rgb="FF000000"/>
        <rFont val="Times New Roman"/>
        <charset val="134"/>
      </rPr>
      <t>30</t>
    </r>
    <r>
      <rPr>
        <sz val="16"/>
        <color rgb="FF000000"/>
        <rFont val="宋体"/>
        <charset val="134"/>
      </rPr>
      <t>元</t>
    </r>
    <r>
      <rPr>
        <sz val="16"/>
        <color rgb="FF000000"/>
        <rFont val="Times New Roman"/>
        <charset val="134"/>
      </rPr>
      <t>*100%</t>
    </r>
    <r>
      <rPr>
        <sz val="16"/>
        <color rgb="FF000000"/>
        <rFont val="宋体"/>
        <charset val="134"/>
      </rPr>
      <t xml:space="preserve">所生婴儿
</t>
    </r>
    <r>
      <rPr>
        <sz val="16"/>
        <color rgb="FF000000"/>
        <rFont val="Times New Roman"/>
        <charset val="134"/>
      </rPr>
      <t>3</t>
    </r>
    <r>
      <rPr>
        <sz val="16"/>
        <color rgb="FF000000"/>
        <rFont val="宋体"/>
        <charset val="134"/>
      </rPr>
      <t>、</t>
    </r>
    <r>
      <rPr>
        <sz val="16"/>
        <color rgb="FF000000"/>
        <rFont val="Times New Roman"/>
        <charset val="134"/>
      </rPr>
      <t>150</t>
    </r>
    <r>
      <rPr>
        <sz val="16"/>
        <color rgb="FF000000"/>
        <rFont val="宋体"/>
        <charset val="134"/>
      </rPr>
      <t>元</t>
    </r>
    <r>
      <rPr>
        <sz val="16"/>
        <color rgb="FF000000"/>
        <rFont val="Times New Roman"/>
        <charset val="134"/>
      </rPr>
      <t>*10%</t>
    </r>
    <r>
      <rPr>
        <sz val="16"/>
        <color rgb="FF000000"/>
        <rFont val="宋体"/>
        <charset val="134"/>
      </rPr>
      <t>所生婴儿（先天梅毒儿）</t>
    </r>
  </si>
  <si>
    <r>
      <rPr>
        <sz val="16"/>
        <color rgb="FF000000"/>
        <rFont val="Times New Roman"/>
        <charset val="134"/>
      </rPr>
      <t>20</t>
    </r>
    <r>
      <rPr>
        <sz val="16"/>
        <color rgb="FF000000"/>
        <rFont val="宋体"/>
        <charset val="134"/>
      </rPr>
      <t>元</t>
    </r>
    <r>
      <rPr>
        <sz val="16"/>
        <color rgb="FF000000"/>
        <rFont val="Times New Roman"/>
        <charset val="134"/>
      </rPr>
      <t>/</t>
    </r>
    <r>
      <rPr>
        <sz val="16"/>
        <color rgb="FF000000"/>
        <rFont val="宋体"/>
        <charset val="134"/>
      </rPr>
      <t>次，平均</t>
    </r>
    <r>
      <rPr>
        <sz val="16"/>
        <color rgb="FF000000"/>
        <rFont val="Times New Roman"/>
        <charset val="134"/>
      </rPr>
      <t>6</t>
    </r>
    <r>
      <rPr>
        <sz val="16"/>
        <color rgb="FF000000"/>
        <rFont val="宋体"/>
        <charset val="134"/>
      </rPr>
      <t>次</t>
    </r>
    <r>
      <rPr>
        <sz val="16"/>
        <color rgb="FF000000"/>
        <rFont val="Times New Roman"/>
        <charset val="134"/>
      </rPr>
      <t>/</t>
    </r>
    <r>
      <rPr>
        <sz val="16"/>
        <color rgb="FF000000"/>
        <rFont val="宋体"/>
        <charset val="134"/>
      </rPr>
      <t>人</t>
    </r>
  </si>
  <si>
    <r>
      <rPr>
        <sz val="16"/>
        <color indexed="8"/>
        <rFont val="Times New Roman"/>
        <charset val="134"/>
      </rPr>
      <t>1000</t>
    </r>
    <r>
      <rPr>
        <sz val="16"/>
        <color indexed="8"/>
        <rFont val="宋体"/>
        <charset val="134"/>
      </rPr>
      <t>元</t>
    </r>
    <r>
      <rPr>
        <sz val="16"/>
        <color indexed="8"/>
        <rFont val="Times New Roman"/>
        <charset val="134"/>
      </rPr>
      <t>/</t>
    </r>
    <r>
      <rPr>
        <sz val="16"/>
        <color indexed="8"/>
        <rFont val="宋体"/>
        <charset val="134"/>
      </rPr>
      <t>对</t>
    </r>
  </si>
  <si>
    <r>
      <rPr>
        <sz val="16"/>
        <color indexed="8"/>
        <rFont val="Times New Roman"/>
        <charset val="134"/>
      </rPr>
      <t>35</t>
    </r>
    <r>
      <rPr>
        <sz val="16"/>
        <color indexed="8"/>
        <rFont val="宋体"/>
        <charset val="134"/>
      </rPr>
      <t>元</t>
    </r>
    <r>
      <rPr>
        <sz val="16"/>
        <color indexed="8"/>
        <rFont val="Times New Roman"/>
        <charset val="134"/>
      </rPr>
      <t>/</t>
    </r>
    <r>
      <rPr>
        <sz val="16"/>
        <color indexed="8"/>
        <rFont val="宋体"/>
        <charset val="134"/>
      </rPr>
      <t>人</t>
    </r>
  </si>
  <si>
    <r>
      <rPr>
        <sz val="16"/>
        <color indexed="8"/>
        <rFont val="Times New Roman"/>
        <charset val="134"/>
      </rPr>
      <t>80</t>
    </r>
    <r>
      <rPr>
        <sz val="16"/>
        <color indexed="8"/>
        <rFont val="宋体"/>
        <charset val="134"/>
      </rPr>
      <t>元</t>
    </r>
    <r>
      <rPr>
        <sz val="16"/>
        <color indexed="8"/>
        <rFont val="Times New Roman"/>
        <charset val="134"/>
      </rPr>
      <t>/</t>
    </r>
    <r>
      <rPr>
        <sz val="16"/>
        <color indexed="8"/>
        <rFont val="宋体"/>
        <charset val="134"/>
      </rPr>
      <t>人</t>
    </r>
  </si>
  <si>
    <r>
      <rPr>
        <sz val="16"/>
        <color rgb="FF000000"/>
        <rFont val="宋体"/>
        <charset val="134"/>
      </rPr>
      <t>100元/人乙肝感染孕产妇所生儿童检测经费+</t>
    </r>
    <r>
      <rPr>
        <sz val="16"/>
        <color rgb="FF000000"/>
        <rFont val="Times New Roman"/>
        <charset val="134"/>
      </rPr>
      <t>50</t>
    </r>
    <r>
      <rPr>
        <sz val="16"/>
        <color rgb="FF000000"/>
        <rFont val="宋体"/>
        <charset val="134"/>
      </rPr>
      <t>元</t>
    </r>
    <r>
      <rPr>
        <sz val="16"/>
        <color rgb="FF000000"/>
        <rFont val="Times New Roman"/>
        <charset val="134"/>
      </rPr>
      <t>/</t>
    </r>
    <r>
      <rPr>
        <sz val="16"/>
        <color rgb="FF000000"/>
        <rFont val="宋体"/>
        <charset val="134"/>
      </rPr>
      <t>人乙肝暴露儿童随访管理费用</t>
    </r>
  </si>
  <si>
    <t>8万/地市，2万/区县，（包括：培训，技术指导，督导，预防母婴传播信息系统管理、项目管理，安全认证相关经费、医务人员隔离防护设备及用品）</t>
  </si>
  <si>
    <t>郁南县</t>
  </si>
  <si>
    <t>备注：
1.孕产妇艾滋病筛查:两种检测试剂（100%覆盖）：6元/人；复测（30%覆盖）：15元/人；咨询、检测孕产妇补助：6元/人。按2023年预计孕产妇筛查人数计算。
2.孕产妇艾滋病确诊及用药辅助检测：确认试剂：180元/人(覆盖100%感染者)；CD4检测：60元/次×3次/人（70%覆盖）；病毒载量检测：430元/次×2次/人（70%覆盖）；用药期间生化检测：60元/人*4次（70%覆盖）。按2023年预估艾滋病病毒感染孕产妇数计算。
3.儿童检测：快速检测：15元/人/次*2种*2次；确认试剂：180元/人。按2023年预估艾滋病病毒感染孕产妇数计算。
4.HIV感染孕产妇孕产期保健及所生儿童保健：1000元/分娩的HIV感染产妇（70%覆盖）；300元/终止妊娠补助（30%覆盖）；3600元每名HIV感染产妇所生婴儿的奶粉补助（70%覆盖）；1200元/对 HIV感染孕产妇及婴儿采血、血样储存、运送及随访（70%覆盖）。按2023年预估艾滋病病毒感染孕产妇数计算。
5.孕产妇梅毒筛查：初检7.5元/人。按2023年预计孕产妇筛查人数计算。
6.孕产妇梅毒确诊及感染孕产妇非梅定量检测：复检（复检率按1.25*梅毒感染孕产妇数）：12元/人；感染孕产妇非梅定量检测：10元/次，平均4次/人。按2023年预估梅毒感染孕产妇数及所生儿童母子对数计算。
7.梅毒感染孕产妇及所生儿童治疗：240元/梅毒感染孕产妇；30元*100%所生婴儿；150元*10%所生婴儿（先天梅毒儿）。按2023年预估梅毒感染孕产妇数及所生儿童母子对数计算。
8.梅毒感染产妇所生儿童梅毒检测：20元/次，平均6次/人。按2023年预估梅毒感染孕产妇数及所生儿童母子对数计算。
9.梅毒感染孕产妇孕产期保健及所生儿童保健:1000元/对。按2023年预估梅毒感染孕产妇数及所生儿童母子对数计算。
10.孕产妇乙肝检测:35元/人。按2023年预计孕产妇筛查人数计算。
11.新生儿免疫球蛋白注射:80元/人（含试剂、储存、运送等费用）。按2023年预估乙肝表面抗原阳性的孕产妇所生新生儿数计算。
12.感染孕产妇及所生儿童随访与检测:100元/人乙肝感染孕产妇所生儿童检测经费+50元/人乙肝暴露儿童随访管理费用。按2023年预估乙肝表面抗原阳性的孕产妇所生新生儿数计算。
13.项目工作经费：8万/地市，2万/区县，（包括：培训，技术指导，督导，预防母婴传播信息系统管理、档案管理，安全认证相关经费、医务人员隔离防护设备及用品）。</t>
  </si>
  <si>
    <t>2023年中央补助艾滋病防治项目专项资金分配表
（婚前孕前保健艾滋病、梅毒和乙肝检测）</t>
  </si>
  <si>
    <t>县区</t>
  </si>
  <si>
    <t>2023年婚前医学检查预测对数（对）</t>
  </si>
  <si>
    <t>每对夫妇艾滋病、梅毒、乙肝检测单价（元）</t>
  </si>
  <si>
    <t>艾滋病、梅毒、乙肝检查所需经费（万元）</t>
  </si>
  <si>
    <r>
      <rPr>
        <b/>
        <sz val="12"/>
        <rFont val="楷体_GB2312"/>
        <charset val="134"/>
      </rPr>
      <t>备注：</t>
    </r>
    <r>
      <rPr>
        <sz val="12"/>
        <rFont val="楷体_GB2312"/>
        <charset val="134"/>
      </rPr>
      <t>根据《广东省卫生健康委广东省民政厅广东省妇女儿童工作委员会办公室关于统筹推进我省免费婚前孕前保健工作的通知》粤卫妇幼函〔2021〕25号文精神，免费孕前优生健康检查，叶酸增补，避孕药具发放，艾滋病梅毒乙肝检测项目经费按现行规定在基本公共卫生服务经费和重大传染病防控经费中列支。</t>
    </r>
  </si>
  <si>
    <t>表4</t>
  </si>
  <si>
    <t>2024年中央财政补助结核病防治项目资金测算表（市县）</t>
  </si>
  <si>
    <t>可疑患者检查</t>
  </si>
  <si>
    <t>患者治疗及随访管理</t>
  </si>
  <si>
    <t>病原学阳性肺结核密切接触者筛查</t>
  </si>
  <si>
    <t>耐药可疑者筛查</t>
  </si>
  <si>
    <t>菌株运输</t>
  </si>
  <si>
    <t>结核病防控管理</t>
  </si>
  <si>
    <t>耐药患者治疗</t>
  </si>
  <si>
    <t>学校结核病筛查</t>
  </si>
  <si>
    <t>任务数</t>
  </si>
  <si>
    <t>补助费用（115元/例）</t>
  </si>
  <si>
    <t>治疗期间随访检查补助（150元/例）</t>
  </si>
  <si>
    <t>补助费用（60元/人）</t>
  </si>
  <si>
    <t>培养例数</t>
  </si>
  <si>
    <t>培养工作经费（105元/例）</t>
  </si>
  <si>
    <t>药敏例数</t>
  </si>
  <si>
    <t>药敏工作经费（210元/例）</t>
  </si>
  <si>
    <t>开展工作县区数</t>
  </si>
  <si>
    <t>补助费用（1.3万元/县区）</t>
  </si>
  <si>
    <t>开展工作的地市数和县区数</t>
  </si>
  <si>
    <t>结核病疫情应急处置补助费用（1万元/地市或县区）</t>
  </si>
  <si>
    <t>网络专报监测补助费用（1万元/市，0.5万元/县）</t>
  </si>
  <si>
    <t>质量控制补助费用（5万元/市,2万元/100万以上人口县区，1万元/其他县区）</t>
  </si>
  <si>
    <t>药品费用（2.7万元/例）</t>
  </si>
  <si>
    <t>任务数
(6个学校)</t>
  </si>
  <si>
    <t>市直学校新生入学结核病筛查</t>
  </si>
  <si>
    <r>
      <rPr>
        <b/>
        <sz val="8"/>
        <color theme="1"/>
        <rFont val="宋体"/>
        <charset val="134"/>
      </rPr>
      <t>云安区</t>
    </r>
    <r>
      <rPr>
        <sz val="8"/>
        <color theme="1"/>
        <rFont val="宋体"/>
        <charset val="134"/>
      </rPr>
      <t>(云安区慢性病防治站</t>
    </r>
  </si>
  <si>
    <t xml:space="preserve">备注：
1.可疑患者检查：每例可疑者补助115元（检查项目：PPD、痰检、痰培养、影像学检查）。
2.患者治疗及随访管理：治疗期间随访检查补助约150元/例。
3.病原学阳性肺结核患者密切接触者检查：检查补助60元/人（检查项目：PPD、痰检、影像学检查，每人3次检查）。
4.耐药可疑者筛查：培养工作经费105元/例，药敏工作经费210元/例（药敏工作由市级统一开展）。
5.菌株运输：1.3万元/县区。
6.结核病防控管理：结核病疫情应急处置补助费用（1万元/地市或县区），网络专报监测补助费用（1万元/市，0.5万元/县），质量控制补助费用（5万元/市,2万元/100万以上人口县区，1万元/其他县区）。
7.根据《中国学校结核病防控指南(2020年版)》（国卫办疾控函〔2020〕910号）、《广东省卫生健康委 广东省教育厅 广东省人力资源和社会保障厅关于进一步做好学校结核病防控工作的通知》（粤卫疾控函〔2021〕197号）、《关于印发中小学生健康体检管理办法(2021年版)的通知》（国卫医发〔2021〕29号），幼小学生进行症状筛查，有肺结核患者密切接触史或可疑症状要进行PPD检测，PPD强阳性（约10%）要进行DR检查；中学生要进行PPD及症状筛查，有肺结核可疑症状或PPD强阳性（约10%）要进行DR检查；大学生要进行DR及症状筛查。（PPD试剂一支5人份）         </t>
  </si>
  <si>
    <t>表5</t>
  </si>
  <si>
    <t>提前下达2024年中央财政补助精神卫生项目资金测算表</t>
  </si>
  <si>
    <t>单位：万元</t>
  </si>
  <si>
    <t xml:space="preserve">合计  </t>
  </si>
  <si>
    <t>应急处置和高风险患者管理指导（补助标准：500元/例）</t>
  </si>
  <si>
    <t>登记病人家属护理教育     （补助标准：40元/例）</t>
  </si>
  <si>
    <t>项目质控（补助标准： 40元/例</t>
  </si>
  <si>
    <t>常见精神障碍防治和儿童青少年心理健康促进</t>
  </si>
  <si>
    <t>社会心理服务体系建设试点推广</t>
  </si>
  <si>
    <t>任务数（例）</t>
  </si>
  <si>
    <t>经费</t>
  </si>
  <si>
    <t xml:space="preserve"> 经费</t>
  </si>
  <si>
    <t>云浮市精神卫生中心</t>
  </si>
  <si>
    <t>云城区卫生健康局</t>
  </si>
  <si>
    <r>
      <rPr>
        <sz val="12"/>
        <rFont val="楷体_GB2312"/>
        <charset val="134"/>
      </rPr>
      <t xml:space="preserve">备注：
1.应急处置和高风险患者管理指导补助标准：500元/例。
2.登记病人家属护理教育补助标准：40元/例。
3.项目质控补助标准：平均每例患者40元。
4.根据《广东省卫生健康委办公室关于印发2021年度重大公共卫生服务精神卫生项目实施方案的通知》（粤卫办疾控函[2021]38号）文件精神，常见精神障碍防治和儿童青少年心理健康促进项目由市级精神卫生中心实施开展具体工作，负责项目的推进落实、技术指导，人员培训，各类筛查评估和总结等工作。
</t>
    </r>
    <r>
      <rPr>
        <sz val="12"/>
        <color rgb="FFFF0000"/>
        <rFont val="楷体_GB2312"/>
        <charset val="134"/>
      </rPr>
      <t>5.2024年中央财政补助重大传染病防控精神卫生项目资金测算表（市县）下达云浮市罗定市为试点县，金额为7万元。</t>
    </r>
  </si>
  <si>
    <t>表6</t>
  </si>
  <si>
    <t>提前下达2024年中央财政补助慢性非传染性疾病防控项目资金测算表</t>
  </si>
  <si>
    <t>单位</t>
  </si>
  <si>
    <t xml:space="preserve">慢性病防控能力建设
</t>
  </si>
  <si>
    <t>慢性病和健康危害因素监测评估干预</t>
  </si>
  <si>
    <t>学龄前儿童乳牙
（局部用氟项目）</t>
  </si>
  <si>
    <t>建设健康社区、单位、食堂数</t>
  </si>
  <si>
    <t>开展死因
监测县区数</t>
  </si>
  <si>
    <t>死因登记人数（例）</t>
  </si>
  <si>
    <t>开展中国居民心脑血管疾病发病登记的点数</t>
  </si>
  <si>
    <t>居民心脑血管事件报告人数</t>
  </si>
  <si>
    <t>中国居民慢性病及危险监测点数</t>
  </si>
  <si>
    <t>补助标准</t>
  </si>
  <si>
    <t>云浮市妇幼保健院</t>
  </si>
  <si>
    <t xml:space="preserve">备注：
1.全民健康生活方式行动，健康支持性环境建设0.745万/套（每套3个健康社区、单位、食堂等）。
2.死亡登记经费用于死亡登记、报告、审核、入户调查、相关卡片印刷、发放、填写和保存、死因数据收集、整理、分析、部门间数据比对与校核、协调宣传，现场督导、技术指导和培训以及相关差旅、食宿等。全年县区3000例及以下按4万/点，市级指导、协调和培训费按辖区监测点数1万/点/年标准拨付（2个点及以上按2万为限）。云浮市的两个国家死因监测点为云城区和罗定市，2024年云城区死因监测工作由云浮市疾病预防控制中心统筹。
3.云安区为中国中国居民心脑血管疾病发病登记监测点，按5万/点标准拨付,市级负责全市指导、协调和培训费按1.5万标准拨付。
4.云城区为中国居民慢性病及危险监测点数，按2万/点标准拨付,2024年工作由云浮市疾病预防控制中心统筹。
5.学龄前儿童乳牙（局部用氟项目）：每人补助19.9元，一年2次（每半年1次）,由云浮市妇幼保健院负责。
</t>
  </si>
  <si>
    <t>表7</t>
  </si>
  <si>
    <t>提前下达2024年中央补助重点传染病及健康危害因素监测项目资金汇总表</t>
  </si>
  <si>
    <t>重点传染病监测：含病媒生物监测</t>
  </si>
  <si>
    <t xml:space="preserve"> 疟疾等其他寄生虫病监测项目</t>
  </si>
  <si>
    <t>饮用水和环境卫生</t>
  </si>
  <si>
    <t>学生常见病监测</t>
  </si>
  <si>
    <t>云浮</t>
  </si>
  <si>
    <t>表7-1</t>
  </si>
  <si>
    <t>2024年中央补助重点传染病和健康危害因素监测
- 成人烟草流行监测</t>
  </si>
  <si>
    <t>监测点数</t>
  </si>
  <si>
    <t>2024年云浮市成人烟草流行监测市级经费</t>
  </si>
  <si>
    <t xml:space="preserve">备注：1.2024年成人烟草流行监测样本量约为3125份；
      2.调查数据质控和督导：开展数据督导和入户现场督导工作经费8元/份；
      3.数据整理分析报告：对数据进行清洗、整理、分析、报告工作经费16元/份；
      4.入户调查宣传资料：入户调查宣传资料和宣传品工作经费8元/份；
    </t>
  </si>
  <si>
    <t>表7-2</t>
  </si>
  <si>
    <t>提前下达2024年中央补助重点传染病和健康危害因素监测- 食品安全风险监测评估</t>
  </si>
  <si>
    <t xml:space="preserve"> 工作任务</t>
  </si>
  <si>
    <t>资金用途</t>
  </si>
  <si>
    <t>食品安全风险监测</t>
  </si>
  <si>
    <t>1.食品中化学污染物及有害因素监测：采样、检测200份样品；
2.食品致病微生物及寄生虫监测：采样、检测170份样品。</t>
  </si>
  <si>
    <t>购买监测样品、试剂、耗材、样品运送、资料印刷、专项设备维护、差旅、参加有关会议培训、劳务、专家咨询等支出。</t>
  </si>
  <si>
    <r>
      <rPr>
        <b/>
        <sz val="14"/>
        <rFont val="宋体"/>
        <charset val="134"/>
      </rPr>
      <t>云城区</t>
    </r>
    <r>
      <rPr>
        <sz val="14"/>
        <rFont val="宋体"/>
        <charset val="134"/>
      </rPr>
      <t>（云城区疾病预防控制中心）</t>
    </r>
  </si>
  <si>
    <t>食源性疾病监测</t>
  </si>
  <si>
    <t>食源性疾病监测：监测40份标本。</t>
  </si>
  <si>
    <t>食源性疾病病例监测（含专项监测），聚集性事件调查，个案调查（电话访谈/入户），特定病原体监测，有关会议培训、劳务、差旅等支持。</t>
  </si>
  <si>
    <r>
      <rPr>
        <b/>
        <sz val="14"/>
        <rFont val="宋体"/>
        <charset val="134"/>
      </rPr>
      <t>云安区</t>
    </r>
    <r>
      <rPr>
        <sz val="14"/>
        <rFont val="宋体"/>
        <charset val="134"/>
      </rPr>
      <t>（云安区疾病预防控制中心）</t>
    </r>
  </si>
  <si>
    <r>
      <rPr>
        <b/>
        <sz val="12"/>
        <rFont val="宋体"/>
        <charset val="134"/>
      </rPr>
      <t>备注：</t>
    </r>
    <r>
      <rPr>
        <sz val="12"/>
        <rFont val="宋体"/>
        <charset val="134"/>
      </rPr>
      <t>1.食品安全风险监测，每份约按360元补助，全市的采样和检测任务由市疾控中心负责。
2.食源性疾病监测，全市监测任务200份标本，平均40份/县，每份按250元补助。</t>
    </r>
  </si>
  <si>
    <t>表7-3</t>
  </si>
  <si>
    <t>2024年中央补助重点传染病和健康危害因素监测
- 居民健康素养监测</t>
  </si>
  <si>
    <t>2024年云浮市居民健康素养监测市级经费</t>
  </si>
  <si>
    <t xml:space="preserve">备注：1.2024年居民健康素养监测样本量约为3125份；
      2.调查数据质控和督导：开展数据督导和入户现场督导工作经费8元/份；
      3.数据整理分析报告：对数据进行清洗、整理、分析、报告工作经费16元/份；
      4.入户调查宣传资料：入户调查宣传资料和宣传品工作经费8元/份；
    </t>
  </si>
  <si>
    <t>表7-4</t>
  </si>
  <si>
    <t>提前下达2024年中央补助重点传染病和健康危害因素监测-重点急性传染病防治项目测算</t>
  </si>
  <si>
    <t>综合能力建设</t>
  </si>
  <si>
    <t>疫情监测和现场调查</t>
  </si>
  <si>
    <t>哨点监测</t>
  </si>
  <si>
    <t>实验室病原检测</t>
  </si>
  <si>
    <t>1登革热</t>
  </si>
  <si>
    <t>3狂犬病</t>
  </si>
  <si>
    <t>5病媒生物</t>
  </si>
  <si>
    <t>6流感</t>
  </si>
  <si>
    <t>7禽流感</t>
  </si>
  <si>
    <t>8新冠</t>
  </si>
  <si>
    <t>9手足口病</t>
  </si>
  <si>
    <t>11致病菌网</t>
  </si>
  <si>
    <t>补助</t>
  </si>
  <si>
    <t>项目管理单位（个）</t>
  </si>
  <si>
    <t>样品寄送（次）</t>
  </si>
  <si>
    <t>监测系统数据质量评估和生物安全任务（年）</t>
  </si>
  <si>
    <t>新冠实验工作质量控制单位（个）</t>
  </si>
  <si>
    <t>哨点数（个）</t>
  </si>
  <si>
    <t>现场调查和暴发处置任务数（起）</t>
  </si>
  <si>
    <t>评估与研判任务数（次）</t>
  </si>
  <si>
    <t>重症死亡病例流行病学调查（个）</t>
  </si>
  <si>
    <t>不明原因肺炎病例处置（个）</t>
  </si>
  <si>
    <t>监测项目开展数（项）</t>
  </si>
  <si>
    <t>监测哨点数（个）</t>
  </si>
  <si>
    <t>哨点监测常规任务数</t>
  </si>
  <si>
    <t>检测任务数汇总</t>
  </si>
  <si>
    <t>检测任务数</t>
  </si>
  <si>
    <t>哨点数
（个）</t>
  </si>
  <si>
    <t>哨点常规任务数</t>
  </si>
  <si>
    <t>蚊媒密度监测任务数</t>
  </si>
  <si>
    <t>病原检测任务数</t>
  </si>
  <si>
    <t>哨点数</t>
  </si>
  <si>
    <t>生态学监测（份）</t>
  </si>
  <si>
    <t>病媒生物抗药性（只）</t>
  </si>
  <si>
    <t>多病原监测（只）</t>
  </si>
  <si>
    <t>荧光PCR检测任务数</t>
  </si>
  <si>
    <t>病毒分离鉴定检测任务数</t>
  </si>
  <si>
    <t>专项调查-抗体水平监测</t>
  </si>
  <si>
    <t>重症、死亡及聚集疫情监测</t>
  </si>
  <si>
    <t>新冠常态监测（结合流感监测网络）</t>
  </si>
  <si>
    <t>重症死亡病例变异株监测</t>
  </si>
  <si>
    <t>基因测序任
务数</t>
  </si>
  <si>
    <t>细菌抗生素耐药分析</t>
  </si>
  <si>
    <t>细菌分离培养鉴定任务数</t>
  </si>
  <si>
    <t>细菌PFGE分子分型全基因测序</t>
  </si>
  <si>
    <t>病毒分享鉴定检测任务数</t>
  </si>
  <si>
    <t>基因测序任务数</t>
  </si>
  <si>
    <t>抗体检测任务数</t>
  </si>
  <si>
    <t>耐药性任务数</t>
  </si>
  <si>
    <t>细菌PFGE或基因测序分子分型任务数</t>
  </si>
  <si>
    <t>（个）</t>
  </si>
  <si>
    <t>任务（年）</t>
  </si>
  <si>
    <t>实际发生数</t>
  </si>
  <si>
    <t>云城区疾控中心</t>
  </si>
  <si>
    <t>云安区疾控中心</t>
  </si>
  <si>
    <t>备注：
一、综合能力建设
1.项目管理：包含疾病监测、数据报送、评估与研判、应急储备、健康宣教、质量控制、实验室数据处理终端运维等常规工作，测算标准：1.5万元/个/年。
2.样品寄送：全年以53周计算，各地市制定任务数为53次，地市测算标准：0.05万元/次。
3.监测系统数据质量评估和生物安全：测算标准：市级，0.33万元/年/单位。
4.实验工作质量控制：测算标准：市级，0.33万元/年/单位。
二、疫情监测和现场调查
1.疫情监测和现场调查：任务测算标准：1.5万元/哨点。
三、哨点监测
1.哨点项目管理：包含疾病监测、运转、调查分析、数据报送、评估等，测算标准：1万元/项目/年。
2.哨点常规任务：病媒生物生态学监测55元/份，抗药性分析47元/只；其余10元/任务数，用于新冠、流感、手足口病等哨点监测的采送样、转运、数据报送、质量控制和核查等监测相关工作。。
四、实验室检测:52元/每任务数。</t>
  </si>
  <si>
    <t>表7-5</t>
  </si>
  <si>
    <t>2024年中央财政补助麻风病防治项目资金测算表</t>
  </si>
  <si>
    <t>单位金额：万元</t>
  </si>
  <si>
    <t>麻风病症状监测</t>
  </si>
  <si>
    <t>高危人群监测</t>
  </si>
  <si>
    <t>现症病人监测</t>
  </si>
  <si>
    <t>任务数1：麻风病症状监测（50元/条）</t>
  </si>
  <si>
    <t>任务数2：信息处理（20元/条）</t>
  </si>
  <si>
    <t>任务数3：宣传和培训补助（200元/条）</t>
  </si>
  <si>
    <t>任务数4：麻风可疑者筛查（200元/例）</t>
  </si>
  <si>
    <t>任务数5：密切接触者检查（200元/例）</t>
  </si>
  <si>
    <t>任务数6：治愈存活者监测（125元/例）</t>
  </si>
  <si>
    <t>任务数7：新病例诊断监测（1200元/例）</t>
  </si>
  <si>
    <t>任务数8：新病例随访监测（2600元/例）</t>
  </si>
  <si>
    <t>任务数9：治完现症病例监测（600元/例）</t>
  </si>
  <si>
    <t>任务数10：医生管理病人补助（1200元/例）</t>
  </si>
  <si>
    <t>金额</t>
  </si>
  <si>
    <r>
      <rPr>
        <b/>
        <sz val="12"/>
        <rFont val="宋体"/>
        <charset val="134"/>
      </rPr>
      <t>云安区</t>
    </r>
    <r>
      <rPr>
        <sz val="11"/>
        <rFont val="宋体"/>
        <charset val="134"/>
      </rPr>
      <t>(云安区慢性病防治站)</t>
    </r>
  </si>
  <si>
    <t>表7-6</t>
  </si>
  <si>
    <t>提前下达2024年中央补助重点传染病和健康危害因素监测-疟疾等其他寄生虫病监测项目测算</t>
  </si>
  <si>
    <t>发热病人血检（例）</t>
  </si>
  <si>
    <t>血检任务（例）</t>
  </si>
  <si>
    <t>云城区人民医院</t>
  </si>
  <si>
    <t>注：测算约11.75元/例</t>
  </si>
  <si>
    <t>表7-7</t>
  </si>
  <si>
    <r>
      <rPr>
        <b/>
        <sz val="18"/>
        <rFont val="宋体"/>
        <charset val="134"/>
      </rPr>
      <t>提前下达</t>
    </r>
    <r>
      <rPr>
        <b/>
        <sz val="18"/>
        <rFont val="Times New Roman"/>
        <charset val="134"/>
      </rPr>
      <t>2024</t>
    </r>
    <r>
      <rPr>
        <b/>
        <sz val="18"/>
        <rFont val="宋体"/>
        <charset val="134"/>
      </rPr>
      <t>年中央补助重点传染病及健康危害因素监测-</t>
    </r>
    <r>
      <rPr>
        <b/>
        <sz val="18"/>
        <rFont val="Times New Roman"/>
        <charset val="134"/>
      </rPr>
      <t xml:space="preserve"> </t>
    </r>
    <r>
      <rPr>
        <b/>
        <sz val="18"/>
        <rFont val="宋体"/>
        <charset val="134"/>
      </rPr>
      <t>水和环境卫生、学校卫生和伤害监测</t>
    </r>
    <r>
      <rPr>
        <b/>
        <sz val="18"/>
        <rFont val="Times New Roman"/>
        <charset val="134"/>
      </rPr>
      <t xml:space="preserve">        </t>
    </r>
  </si>
  <si>
    <t>总计</t>
  </si>
  <si>
    <t>饮用水水质卫生监测</t>
  </si>
  <si>
    <t>全国学生常见病和健康影响因素监测及综合干预</t>
  </si>
  <si>
    <t>农村水</t>
  </si>
  <si>
    <t>城市水</t>
  </si>
  <si>
    <t>监测
点数</t>
  </si>
  <si>
    <r>
      <rPr>
        <b/>
        <sz val="11"/>
        <rFont val="宋体"/>
        <charset val="134"/>
      </rPr>
      <t>备注：</t>
    </r>
    <r>
      <rPr>
        <sz val="11"/>
        <rFont val="宋体"/>
        <charset val="134"/>
      </rPr>
      <t xml:space="preserve">
1.饮用水水质卫生监测：资金用于补助水样采集、调查、参加有关培训、实验室分析（含检验试剂耗材费及仪器维护检定费）、误餐费、差旅费、采样燃油费等。监测经费原则上根据水样份数分配。云浮市非直管县农村40个监测点，城市30个监测点，合计70个监测点，按每个监测点做4份水样计算，</t>
    </r>
    <r>
      <rPr>
        <b/>
        <sz val="11"/>
        <rFont val="宋体"/>
        <charset val="134"/>
      </rPr>
      <t>每份水样约补助360元。</t>
    </r>
    <r>
      <rPr>
        <sz val="11"/>
        <rFont val="宋体"/>
        <charset val="134"/>
      </rPr>
      <t>云城区监测点共35个，监测水样共140份，经费补助共5.04万元，分配给市疾控中心负责实验室分析，另安排1.71万用于培训、宣传等。
2.学生常见病和健康影响因素监测及干预：（1）监测和干预任务覆盖云浮市5个监测点（罗定市、新兴县和郁南县经费省直拨），（2）安排云浮市疾病预防控制中心经费3.26万元，用于现场组织、技术培训和指导、数据整理分析、报告撰写、设备耗材、差旅费、劳务费、宣教材料制作和物资购买等；（3）工作经费用于问卷资料印刷、技术培训、教学环境检测、学生体检、现场调查、技术服务委托、宣教物资、数据录入分析、报告撰写、设备耗材、质量控制、劳务费、误餐费、差旅费、燃油费等。</t>
    </r>
  </si>
</sst>
</file>

<file path=xl/styles.xml><?xml version="1.0" encoding="utf-8"?>
<styleSheet xmlns="http://schemas.openxmlformats.org/spreadsheetml/2006/main">
  <numFmts count="18">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_);[Red]\(0\)"/>
    <numFmt numFmtId="177" formatCode="0_ "/>
    <numFmt numFmtId="178" formatCode="????0"/>
    <numFmt numFmtId="179" formatCode="0.00_);[Red]\(0.00\)"/>
    <numFmt numFmtId="180" formatCode="0.00_ "/>
    <numFmt numFmtId="181" formatCode="0.0000_);[Red]\(0.0000\)"/>
    <numFmt numFmtId="182" formatCode="0.00000_ "/>
    <numFmt numFmtId="183" formatCode="0;[Red]0"/>
    <numFmt numFmtId="184" formatCode="?????0"/>
    <numFmt numFmtId="185" formatCode="0.000_ "/>
    <numFmt numFmtId="186" formatCode="_ * #,##0.00_ ;_ * \-#,##0.00_ ;_ * &quot;-&quot;??.0_ ;_ @_ "/>
    <numFmt numFmtId="187" formatCode="#,##0.000_ "/>
    <numFmt numFmtId="188" formatCode="0.0_);[Red]\(0.0\)"/>
    <numFmt numFmtId="189" formatCode="#,##0.00_ "/>
  </numFmts>
  <fonts count="154">
    <font>
      <sz val="12"/>
      <name val="宋体"/>
      <charset val="134"/>
    </font>
    <font>
      <sz val="12"/>
      <color indexed="8"/>
      <name val="Times New Roman"/>
      <charset val="134"/>
    </font>
    <font>
      <sz val="11"/>
      <color indexed="8"/>
      <name val="Times New Roman"/>
      <charset val="134"/>
    </font>
    <font>
      <b/>
      <sz val="11"/>
      <color indexed="8"/>
      <name val="Times New Roman"/>
      <charset val="134"/>
    </font>
    <font>
      <sz val="11"/>
      <color indexed="8"/>
      <name val="宋体"/>
      <charset val="134"/>
    </font>
    <font>
      <sz val="12"/>
      <color indexed="8"/>
      <name val="宋体"/>
      <charset val="134"/>
    </font>
    <font>
      <b/>
      <sz val="18"/>
      <name val="宋体"/>
      <charset val="134"/>
    </font>
    <font>
      <b/>
      <sz val="18"/>
      <color indexed="8"/>
      <name val="Times New Roman"/>
      <charset val="134"/>
    </font>
    <font>
      <b/>
      <sz val="12"/>
      <color rgb="FF000000"/>
      <name val="宋体"/>
      <charset val="134"/>
    </font>
    <font>
      <b/>
      <sz val="12"/>
      <color indexed="8"/>
      <name val="宋体"/>
      <charset val="134"/>
    </font>
    <font>
      <b/>
      <sz val="12"/>
      <color indexed="8"/>
      <name val="Times New Roman"/>
      <charset val="134"/>
    </font>
    <font>
      <b/>
      <sz val="11"/>
      <name val="宋体"/>
      <charset val="134"/>
    </font>
    <font>
      <sz val="11"/>
      <color rgb="FFFF0000"/>
      <name val="宋体"/>
      <charset val="134"/>
    </font>
    <font>
      <b/>
      <sz val="14"/>
      <color theme="1"/>
      <name val="宋体"/>
      <charset val="134"/>
      <scheme val="minor"/>
    </font>
    <font>
      <sz val="14"/>
      <color rgb="FFFF0000"/>
      <name val="宋体"/>
      <charset val="134"/>
      <scheme val="minor"/>
    </font>
    <font>
      <sz val="14"/>
      <color theme="1"/>
      <name val="宋体"/>
      <charset val="134"/>
      <scheme val="minor"/>
    </font>
    <font>
      <sz val="12"/>
      <color theme="1"/>
      <name val="宋体"/>
      <charset val="134"/>
    </font>
    <font>
      <sz val="14"/>
      <color theme="1"/>
      <name val="黑体"/>
      <charset val="134"/>
    </font>
    <font>
      <sz val="16"/>
      <color rgb="FF000000"/>
      <name val="方正小标宋简体"/>
      <charset val="134"/>
    </font>
    <font>
      <sz val="18"/>
      <color rgb="FF000000"/>
      <name val="方正小标宋简体"/>
      <charset val="134"/>
    </font>
    <font>
      <sz val="14"/>
      <name val="楷体_GB2312"/>
      <charset val="134"/>
    </font>
    <font>
      <sz val="16"/>
      <name val="楷体_GB2312"/>
      <charset val="134"/>
    </font>
    <font>
      <sz val="14"/>
      <name val="黑体"/>
      <charset val="134"/>
    </font>
    <font>
      <b/>
      <sz val="14"/>
      <name val="宋体"/>
      <charset val="134"/>
      <scheme val="minor"/>
    </font>
    <font>
      <sz val="14"/>
      <name val="宋体"/>
      <charset val="134"/>
      <scheme val="minor"/>
    </font>
    <font>
      <sz val="14"/>
      <color theme="1"/>
      <name val="楷体_GB2312"/>
      <charset val="134"/>
    </font>
    <font>
      <sz val="11"/>
      <name val="宋体"/>
      <charset val="134"/>
    </font>
    <font>
      <sz val="16"/>
      <color indexed="8"/>
      <name val="黑体"/>
      <charset val="134"/>
    </font>
    <font>
      <b/>
      <sz val="24"/>
      <name val="宋体"/>
      <charset val="134"/>
    </font>
    <font>
      <b/>
      <sz val="20"/>
      <name val="宋体"/>
      <charset val="134"/>
    </font>
    <font>
      <b/>
      <sz val="14"/>
      <name val="宋体"/>
      <charset val="134"/>
    </font>
    <font>
      <sz val="14"/>
      <name val="宋体"/>
      <charset val="134"/>
    </font>
    <font>
      <b/>
      <sz val="12"/>
      <name val="宋体"/>
      <charset val="134"/>
    </font>
    <font>
      <sz val="16"/>
      <name val="宋体"/>
      <charset val="134"/>
    </font>
    <font>
      <sz val="28"/>
      <color rgb="FF000000"/>
      <name val="宋体"/>
      <charset val="134"/>
    </font>
    <font>
      <sz val="20"/>
      <color theme="1"/>
      <name val="宋体"/>
      <charset val="134"/>
      <scheme val="minor"/>
    </font>
    <font>
      <b/>
      <sz val="24"/>
      <color theme="1"/>
      <name val="宋体"/>
      <charset val="134"/>
      <scheme val="minor"/>
    </font>
    <font>
      <sz val="22"/>
      <color rgb="FFFF0000"/>
      <name val="宋体"/>
      <charset val="134"/>
      <scheme val="minor"/>
    </font>
    <font>
      <sz val="22"/>
      <color theme="1"/>
      <name val="宋体"/>
      <charset val="134"/>
      <scheme val="minor"/>
    </font>
    <font>
      <sz val="11"/>
      <color theme="1"/>
      <name val="宋体"/>
      <charset val="134"/>
      <scheme val="minor"/>
    </font>
    <font>
      <sz val="10"/>
      <name val="宋体"/>
      <charset val="134"/>
    </font>
    <font>
      <sz val="48"/>
      <color theme="1"/>
      <name val="宋体"/>
      <charset val="134"/>
      <scheme val="minor"/>
    </font>
    <font>
      <sz val="72"/>
      <color theme="1"/>
      <name val="方正小标宋简体"/>
      <charset val="134"/>
    </font>
    <font>
      <sz val="48"/>
      <name val="楷体_GB2312"/>
      <charset val="134"/>
    </font>
    <font>
      <b/>
      <sz val="24"/>
      <name val="黑体"/>
      <charset val="134"/>
    </font>
    <font>
      <b/>
      <sz val="22"/>
      <name val="宋体"/>
      <charset val="134"/>
      <scheme val="minor"/>
    </font>
    <font>
      <sz val="22"/>
      <name val="宋体"/>
      <charset val="134"/>
      <scheme val="minor"/>
    </font>
    <font>
      <sz val="24"/>
      <color theme="1"/>
      <name val="楷体_GB2312"/>
      <charset val="134"/>
    </font>
    <font>
      <b/>
      <sz val="24"/>
      <color theme="1"/>
      <name val="黑体"/>
      <charset val="134"/>
    </font>
    <font>
      <b/>
      <sz val="18"/>
      <name val="宋体"/>
      <charset val="134"/>
      <scheme val="minor"/>
    </font>
    <font>
      <sz val="22"/>
      <name val="黑体"/>
      <charset val="134"/>
    </font>
    <font>
      <b/>
      <sz val="22"/>
      <name val="黑体"/>
      <charset val="134"/>
    </font>
    <font>
      <b/>
      <sz val="20"/>
      <name val="黑体"/>
      <charset val="134"/>
    </font>
    <font>
      <sz val="20"/>
      <name val="黑体"/>
      <charset val="134"/>
    </font>
    <font>
      <sz val="12"/>
      <color indexed="8"/>
      <name val="黑体"/>
      <charset val="134"/>
    </font>
    <font>
      <sz val="18"/>
      <color indexed="8"/>
      <name val="方正小标宋简体"/>
      <charset val="134"/>
    </font>
    <font>
      <sz val="12"/>
      <color rgb="FFC00000"/>
      <name val="宋体"/>
      <charset val="134"/>
    </font>
    <font>
      <b/>
      <sz val="14"/>
      <color indexed="8"/>
      <name val="宋体"/>
      <charset val="134"/>
    </font>
    <font>
      <sz val="12"/>
      <name val="楷体_GB2312"/>
      <charset val="134"/>
    </font>
    <font>
      <sz val="12"/>
      <color theme="1"/>
      <name val="黑体"/>
      <charset val="134"/>
    </font>
    <font>
      <sz val="16"/>
      <color theme="1"/>
      <name val="黑体"/>
      <charset val="134"/>
    </font>
    <font>
      <sz val="18"/>
      <color theme="1"/>
      <name val="方正小标宋简体"/>
      <charset val="134"/>
    </font>
    <font>
      <sz val="26"/>
      <color theme="1"/>
      <name val="方正小标宋简体"/>
      <charset val="134"/>
    </font>
    <font>
      <sz val="12"/>
      <name val="宋体"/>
      <charset val="134"/>
      <scheme val="minor"/>
    </font>
    <font>
      <b/>
      <sz val="12"/>
      <name val="宋体"/>
      <charset val="134"/>
      <scheme val="minor"/>
    </font>
    <font>
      <sz val="12"/>
      <color rgb="FFFF0000"/>
      <name val="宋体"/>
      <charset val="134"/>
      <scheme val="minor"/>
    </font>
    <font>
      <sz val="20"/>
      <name val="方正小标宋简体"/>
      <charset val="134"/>
    </font>
    <font>
      <sz val="20"/>
      <color theme="1"/>
      <name val="方正小标宋简体"/>
      <charset val="134"/>
    </font>
    <font>
      <b/>
      <sz val="12"/>
      <color theme="1"/>
      <name val="宋体"/>
      <charset val="134"/>
      <scheme val="minor"/>
    </font>
    <font>
      <sz val="12"/>
      <color theme="1"/>
      <name val="宋体"/>
      <charset val="134"/>
      <scheme val="minor"/>
    </font>
    <font>
      <sz val="11"/>
      <name val="宋体"/>
      <charset val="134"/>
      <scheme val="minor"/>
    </font>
    <font>
      <sz val="11"/>
      <color rgb="FFFF0000"/>
      <name val="宋体"/>
      <charset val="134"/>
      <scheme val="minor"/>
    </font>
    <font>
      <b/>
      <sz val="12"/>
      <color rgb="FFFF0000"/>
      <name val="宋体"/>
      <charset val="134"/>
    </font>
    <font>
      <sz val="18"/>
      <name val="方正小标宋简体"/>
      <charset val="134"/>
    </font>
    <font>
      <sz val="12"/>
      <name val="黑体"/>
      <charset val="134"/>
    </font>
    <font>
      <sz val="12"/>
      <color rgb="FFFF0000"/>
      <name val="宋体"/>
      <charset val="134"/>
    </font>
    <font>
      <sz val="8"/>
      <color theme="1"/>
      <name val="宋体"/>
      <charset val="134"/>
    </font>
    <font>
      <sz val="14"/>
      <color theme="1"/>
      <name val="方正小标宋简体"/>
      <charset val="134"/>
    </font>
    <font>
      <sz val="8"/>
      <color rgb="FFFF0000"/>
      <name val="宋体"/>
      <charset val="134"/>
    </font>
    <font>
      <sz val="8"/>
      <name val="黑体"/>
      <charset val="134"/>
    </font>
    <font>
      <b/>
      <sz val="8"/>
      <color theme="1"/>
      <name val="宋体"/>
      <charset val="134"/>
    </font>
    <font>
      <sz val="12"/>
      <color theme="1"/>
      <name val="仿宋_GB2312"/>
      <charset val="134"/>
    </font>
    <font>
      <b/>
      <sz val="12"/>
      <name val="楷体_GB2312"/>
      <charset val="134"/>
    </font>
    <font>
      <sz val="12"/>
      <name val="方正小标宋简体"/>
      <charset val="134"/>
    </font>
    <font>
      <sz val="18"/>
      <name val="Arial"/>
      <charset val="134"/>
    </font>
    <font>
      <sz val="16"/>
      <name val="Arial"/>
      <charset val="134"/>
    </font>
    <font>
      <b/>
      <sz val="18"/>
      <name val="Arial"/>
      <charset val="134"/>
    </font>
    <font>
      <sz val="12"/>
      <name val="Arial"/>
      <charset val="134"/>
    </font>
    <font>
      <sz val="36"/>
      <name val="方正小标宋简体"/>
      <charset val="134"/>
    </font>
    <font>
      <b/>
      <sz val="18"/>
      <color indexed="8"/>
      <name val="宋体"/>
      <charset val="134"/>
    </font>
    <font>
      <b/>
      <sz val="18"/>
      <color indexed="8"/>
      <name val="Arial"/>
      <charset val="134"/>
    </font>
    <font>
      <b/>
      <sz val="18"/>
      <color rgb="FF000000"/>
      <name val="Arial"/>
      <charset val="134"/>
    </font>
    <font>
      <b/>
      <sz val="16"/>
      <color indexed="8"/>
      <name val="宋体"/>
      <charset val="134"/>
    </font>
    <font>
      <sz val="16"/>
      <color indexed="8"/>
      <name val="Arial"/>
      <charset val="134"/>
    </font>
    <font>
      <sz val="16"/>
      <color indexed="8"/>
      <name val="宋体"/>
      <charset val="134"/>
    </font>
    <font>
      <sz val="18"/>
      <color indexed="8"/>
      <name val="宋体"/>
      <charset val="134"/>
    </font>
    <font>
      <sz val="18"/>
      <color indexed="8"/>
      <name val="Times New Roman"/>
      <charset val="134"/>
    </font>
    <font>
      <sz val="18"/>
      <color indexed="8"/>
      <name val="Arial"/>
      <charset val="134"/>
    </font>
    <font>
      <sz val="18"/>
      <name val="宋体"/>
      <charset val="134"/>
    </font>
    <font>
      <sz val="16"/>
      <color indexed="8"/>
      <name val="Times New Roman"/>
      <charset val="134"/>
    </font>
    <font>
      <sz val="16"/>
      <color rgb="FF000000"/>
      <name val="Times New Roman"/>
      <charset val="134"/>
    </font>
    <font>
      <sz val="16"/>
      <color rgb="FF000000"/>
      <name val="宋体"/>
      <charset val="134"/>
    </font>
    <font>
      <sz val="22"/>
      <name val="楷体_GB2312"/>
      <charset val="134"/>
    </font>
    <font>
      <sz val="12"/>
      <color indexed="8"/>
      <name val="仿宋_GB2312"/>
      <charset val="134"/>
    </font>
    <font>
      <sz val="14"/>
      <color indexed="8"/>
      <name val="黑体"/>
      <charset val="134"/>
    </font>
    <font>
      <sz val="10"/>
      <name val="黑体"/>
      <charset val="134"/>
    </font>
    <font>
      <sz val="16"/>
      <color theme="1"/>
      <name val="Arial"/>
      <charset val="134"/>
    </font>
    <font>
      <sz val="18"/>
      <color indexed="8"/>
      <name val="黑体"/>
      <charset val="134"/>
    </font>
    <font>
      <sz val="18"/>
      <color rgb="FF000000"/>
      <name val="黑体"/>
      <charset val="134"/>
    </font>
    <font>
      <b/>
      <sz val="18"/>
      <name val="Times New Roman"/>
      <charset val="134"/>
    </font>
    <font>
      <sz val="18"/>
      <name val="Times New Roman"/>
      <charset val="134"/>
    </font>
    <font>
      <sz val="18"/>
      <color theme="1"/>
      <name val="黑体"/>
      <charset val="134"/>
    </font>
    <font>
      <b/>
      <sz val="18"/>
      <color rgb="FF000000"/>
      <name val="Times New Roman"/>
      <charset val="134"/>
    </font>
    <font>
      <sz val="18"/>
      <color theme="1"/>
      <name val="Arial"/>
      <charset val="134"/>
    </font>
    <font>
      <sz val="26"/>
      <name val="方正小标宋简体"/>
      <charset val="134"/>
    </font>
    <font>
      <b/>
      <sz val="36"/>
      <name val="宋体"/>
      <charset val="134"/>
    </font>
    <font>
      <sz val="14"/>
      <color rgb="FF000000"/>
      <name val="黑体"/>
      <charset val="134"/>
    </font>
    <font>
      <sz val="14"/>
      <name val="Times New Roman"/>
      <charset val="134"/>
    </font>
    <font>
      <b/>
      <sz val="14"/>
      <color theme="1"/>
      <name val="宋体"/>
      <charset val="134"/>
    </font>
    <font>
      <sz val="14"/>
      <color theme="1"/>
      <name val="宋体"/>
      <charset val="134"/>
    </font>
    <font>
      <b/>
      <sz val="10"/>
      <color theme="1"/>
      <name val="宋体"/>
      <charset val="134"/>
    </font>
    <font>
      <sz val="11"/>
      <color theme="1"/>
      <name val="宋体"/>
      <charset val="134"/>
    </font>
    <font>
      <sz val="10"/>
      <color theme="1"/>
      <name val="宋体"/>
      <charset val="134"/>
    </font>
    <font>
      <sz val="10"/>
      <color rgb="FFFF0000"/>
      <name val="宋体"/>
      <charset val="134"/>
    </font>
    <font>
      <b/>
      <sz val="11"/>
      <color theme="1"/>
      <name val="宋体"/>
      <charset val="134"/>
    </font>
    <font>
      <b/>
      <sz val="12"/>
      <color theme="1"/>
      <name val="宋体"/>
      <charset val="134"/>
    </font>
    <font>
      <sz val="26"/>
      <color rgb="FFFF0000"/>
      <name val="方正小标宋简体"/>
      <charset val="134"/>
    </font>
    <font>
      <sz val="14"/>
      <name val="方正小标宋简体"/>
      <charset val="134"/>
    </font>
    <font>
      <sz val="14"/>
      <color rgb="FFFF0000"/>
      <name val="楷体_GB2312"/>
      <charset val="134"/>
    </font>
    <font>
      <sz val="16"/>
      <color theme="1"/>
      <name val="楷体_GB2312"/>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name val="Times New Roman"/>
      <charset val="134"/>
    </font>
    <font>
      <sz val="11"/>
      <color rgb="FF000000"/>
      <name val="宋体"/>
      <charset val="134"/>
    </font>
    <font>
      <b/>
      <sz val="11"/>
      <color rgb="FFFA7D00"/>
      <name val="宋体"/>
      <charset val="0"/>
      <scheme val="minor"/>
    </font>
    <font>
      <sz val="11"/>
      <color rgb="FFFA7D00"/>
      <name val="宋体"/>
      <charset val="0"/>
      <scheme val="minor"/>
    </font>
    <font>
      <sz val="11"/>
      <color rgb="FF006100"/>
      <name val="宋体"/>
      <charset val="0"/>
      <scheme val="minor"/>
    </font>
    <font>
      <sz val="9"/>
      <name val="宋体"/>
      <charset val="134"/>
    </font>
    <font>
      <sz val="12"/>
      <color rgb="FFFF0000"/>
      <name val="楷体_GB2312"/>
      <charset val="134"/>
    </font>
    <font>
      <b/>
      <sz val="18"/>
      <color rgb="FF000000"/>
      <name val="宋体"/>
      <charset val="134"/>
    </font>
  </fonts>
  <fills count="34">
    <fill>
      <patternFill patternType="none"/>
    </fill>
    <fill>
      <patternFill patternType="gray125"/>
    </fill>
    <fill>
      <patternFill patternType="solid">
        <fgColor theme="9" tint="0.799951170384838"/>
        <bgColor indexed="64"/>
      </patternFill>
    </fill>
    <fill>
      <patternFill patternType="solid">
        <fgColor theme="9" tint="0.59999389629810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8"/>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59999389629810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71">
    <xf numFmtId="0" fontId="0" fillId="0" borderId="0">
      <alignment vertical="center"/>
    </xf>
    <xf numFmtId="42" fontId="39" fillId="0" borderId="0" applyFont="0" applyFill="0" applyBorder="0" applyAlignment="0" applyProtection="0">
      <alignment vertical="center"/>
    </xf>
    <xf numFmtId="44" fontId="39" fillId="0" borderId="0" applyFont="0" applyFill="0" applyBorder="0" applyAlignment="0" applyProtection="0">
      <alignment vertical="center"/>
    </xf>
    <xf numFmtId="0" fontId="26" fillId="0" borderId="0">
      <alignment vertical="center"/>
    </xf>
    <xf numFmtId="0" fontId="142" fillId="14" borderId="0" applyNumberFormat="0" applyBorder="0" applyAlignment="0" applyProtection="0">
      <alignment vertical="center"/>
    </xf>
    <xf numFmtId="0" fontId="138" fillId="9" borderId="19" applyNumberFormat="0" applyAlignment="0" applyProtection="0">
      <alignment vertical="center"/>
    </xf>
    <xf numFmtId="41" fontId="39" fillId="0" borderId="0" applyFont="0" applyFill="0" applyBorder="0" applyAlignment="0" applyProtection="0">
      <alignment vertical="center"/>
    </xf>
    <xf numFmtId="0" fontId="142" fillId="12" borderId="0" applyNumberFormat="0" applyBorder="0" applyAlignment="0" applyProtection="0">
      <alignment vertical="center"/>
    </xf>
    <xf numFmtId="0" fontId="133" fillId="4" borderId="0" applyNumberFormat="0" applyBorder="0" applyAlignment="0" applyProtection="0">
      <alignment vertical="center"/>
    </xf>
    <xf numFmtId="43" fontId="0" fillId="0" borderId="0" applyFont="0" applyFill="0" applyBorder="0" applyAlignment="0" applyProtection="0">
      <alignment vertical="center"/>
    </xf>
    <xf numFmtId="0" fontId="134" fillId="18" borderId="0" applyNumberFormat="0" applyBorder="0" applyAlignment="0" applyProtection="0">
      <alignment vertical="center"/>
    </xf>
    <xf numFmtId="0" fontId="141" fillId="0" borderId="0" applyNumberFormat="0" applyFill="0" applyBorder="0" applyAlignment="0" applyProtection="0">
      <alignment vertical="center"/>
    </xf>
    <xf numFmtId="0" fontId="146" fillId="0" borderId="0">
      <alignment vertical="center"/>
    </xf>
    <xf numFmtId="9" fontId="39" fillId="0" borderId="0" applyFont="0" applyFill="0" applyBorder="0" applyAlignment="0" applyProtection="0">
      <alignment vertical="center"/>
    </xf>
    <xf numFmtId="0" fontId="132" fillId="0" borderId="0" applyNumberFormat="0" applyFill="0" applyBorder="0" applyAlignment="0" applyProtection="0">
      <alignment vertical="center"/>
    </xf>
    <xf numFmtId="0" fontId="39" fillId="7" borderId="18" applyNumberFormat="0" applyFont="0" applyAlignment="0" applyProtection="0">
      <alignment vertical="center"/>
    </xf>
    <xf numFmtId="0" fontId="0" fillId="0" borderId="0">
      <alignment vertical="center"/>
    </xf>
    <xf numFmtId="0" fontId="4" fillId="0" borderId="0" applyProtection="0">
      <alignment vertical="center"/>
    </xf>
    <xf numFmtId="0" fontId="134" fillId="22" borderId="0" applyNumberFormat="0" applyBorder="0" applyAlignment="0" applyProtection="0">
      <alignment vertical="center"/>
    </xf>
    <xf numFmtId="0" fontId="131" fillId="0" borderId="0" applyNumberFormat="0" applyFill="0" applyBorder="0" applyAlignment="0" applyProtection="0">
      <alignment vertical="center"/>
    </xf>
    <xf numFmtId="0" fontId="143" fillId="0" borderId="0" applyNumberFormat="0" applyFill="0" applyBorder="0" applyAlignment="0" applyProtection="0">
      <alignment vertical="center"/>
    </xf>
    <xf numFmtId="0" fontId="140" fillId="0" borderId="0" applyNumberFormat="0" applyFill="0" applyBorder="0" applyAlignment="0" applyProtection="0">
      <alignment vertical="center"/>
    </xf>
    <xf numFmtId="0" fontId="4" fillId="0" borderId="0">
      <alignment vertical="center"/>
    </xf>
    <xf numFmtId="0" fontId="130" fillId="0" borderId="0" applyNumberFormat="0" applyFill="0" applyBorder="0" applyAlignment="0" applyProtection="0">
      <alignment vertical="center"/>
    </xf>
    <xf numFmtId="0" fontId="136" fillId="0" borderId="17" applyNumberFormat="0" applyFill="0" applyAlignment="0" applyProtection="0">
      <alignment vertical="center"/>
    </xf>
    <xf numFmtId="0" fontId="145" fillId="0" borderId="17" applyNumberFormat="0" applyFill="0" applyAlignment="0" applyProtection="0">
      <alignment vertical="center"/>
    </xf>
    <xf numFmtId="0" fontId="134" fillId="20" borderId="0" applyNumberFormat="0" applyBorder="0" applyAlignment="0" applyProtection="0">
      <alignment vertical="center"/>
    </xf>
    <xf numFmtId="0" fontId="131" fillId="0" borderId="21" applyNumberFormat="0" applyFill="0" applyAlignment="0" applyProtection="0">
      <alignment vertical="center"/>
    </xf>
    <xf numFmtId="0" fontId="134" fillId="23" borderId="0" applyNumberFormat="0" applyBorder="0" applyAlignment="0" applyProtection="0">
      <alignment vertical="center"/>
    </xf>
    <xf numFmtId="0" fontId="135" fillId="6" borderId="16" applyNumberFormat="0" applyAlignment="0" applyProtection="0">
      <alignment vertical="center"/>
    </xf>
    <xf numFmtId="0" fontId="148" fillId="6" borderId="19" applyNumberFormat="0" applyAlignment="0" applyProtection="0">
      <alignment vertical="center"/>
    </xf>
    <xf numFmtId="0" fontId="144" fillId="11" borderId="22" applyNumberFormat="0" applyAlignment="0" applyProtection="0">
      <alignment vertical="center"/>
    </xf>
    <xf numFmtId="0" fontId="142" fillId="30" borderId="0" applyNumberFormat="0" applyBorder="0" applyAlignment="0" applyProtection="0">
      <alignment vertical="center"/>
    </xf>
    <xf numFmtId="0" fontId="134" fillId="26" borderId="0" applyNumberFormat="0" applyBorder="0" applyAlignment="0" applyProtection="0">
      <alignment vertical="center"/>
    </xf>
    <xf numFmtId="0" fontId="149" fillId="0" borderId="23" applyNumberFormat="0" applyFill="0" applyAlignment="0" applyProtection="0">
      <alignment vertical="center"/>
    </xf>
    <xf numFmtId="0" fontId="139" fillId="0" borderId="20" applyNumberFormat="0" applyFill="0" applyAlignment="0" applyProtection="0">
      <alignment vertical="center"/>
    </xf>
    <xf numFmtId="0" fontId="150" fillId="31" borderId="0" applyNumberFormat="0" applyBorder="0" applyAlignment="0" applyProtection="0">
      <alignment vertical="center"/>
    </xf>
    <xf numFmtId="0" fontId="137" fillId="8" borderId="0" applyNumberFormat="0" applyBorder="0" applyAlignment="0" applyProtection="0">
      <alignment vertical="center"/>
    </xf>
    <xf numFmtId="0" fontId="142" fillId="15" borderId="0" applyNumberFormat="0" applyBorder="0" applyAlignment="0" applyProtection="0">
      <alignment vertical="center"/>
    </xf>
    <xf numFmtId="0" fontId="134" fillId="5" borderId="0" applyNumberFormat="0" applyBorder="0" applyAlignment="0" applyProtection="0">
      <alignment vertical="center"/>
    </xf>
    <xf numFmtId="0" fontId="0" fillId="0" borderId="0"/>
    <xf numFmtId="0" fontId="4" fillId="0" borderId="0" applyProtection="0">
      <alignment vertical="center"/>
    </xf>
    <xf numFmtId="0" fontId="142" fillId="27" borderId="0" applyNumberFormat="0" applyBorder="0" applyAlignment="0" applyProtection="0">
      <alignment vertical="center"/>
    </xf>
    <xf numFmtId="0" fontId="142" fillId="10" borderId="0" applyNumberFormat="0" applyBorder="0" applyAlignment="0" applyProtection="0">
      <alignment vertical="center"/>
    </xf>
    <xf numFmtId="0" fontId="142" fillId="29" borderId="0" applyNumberFormat="0" applyBorder="0" applyAlignment="0" applyProtection="0">
      <alignment vertical="center"/>
    </xf>
    <xf numFmtId="0" fontId="142" fillId="33" borderId="0" applyNumberFormat="0" applyBorder="0" applyAlignment="0" applyProtection="0">
      <alignment vertical="center"/>
    </xf>
    <xf numFmtId="0" fontId="134" fillId="16" borderId="0" applyNumberFormat="0" applyBorder="0" applyAlignment="0" applyProtection="0">
      <alignment vertical="center"/>
    </xf>
    <xf numFmtId="0" fontId="134" fillId="24" borderId="0" applyNumberFormat="0" applyBorder="0" applyAlignment="0" applyProtection="0">
      <alignment vertical="center"/>
    </xf>
    <xf numFmtId="0" fontId="142" fillId="28" borderId="0" applyNumberFormat="0" applyBorder="0" applyAlignment="0" applyProtection="0">
      <alignment vertical="center"/>
    </xf>
    <xf numFmtId="0" fontId="142" fillId="32" borderId="0" applyNumberFormat="0" applyBorder="0" applyAlignment="0" applyProtection="0">
      <alignment vertical="center"/>
    </xf>
    <xf numFmtId="0" fontId="134" fillId="17" borderId="0" applyNumberFormat="0" applyBorder="0" applyAlignment="0" applyProtection="0">
      <alignment vertical="center"/>
    </xf>
    <xf numFmtId="0" fontId="4" fillId="0" borderId="0">
      <alignment vertical="center"/>
    </xf>
    <xf numFmtId="0" fontId="142" fillId="13" borderId="0" applyNumberFormat="0" applyBorder="0" applyAlignment="0" applyProtection="0">
      <alignment vertical="center"/>
    </xf>
    <xf numFmtId="0" fontId="134" fillId="19" borderId="0" applyNumberFormat="0" applyBorder="0" applyAlignment="0" applyProtection="0">
      <alignment vertical="center"/>
    </xf>
    <xf numFmtId="0" fontId="134" fillId="25" borderId="0" applyNumberFormat="0" applyBorder="0" applyAlignment="0" applyProtection="0">
      <alignment vertical="center"/>
    </xf>
    <xf numFmtId="0" fontId="142" fillId="3" borderId="0" applyNumberFormat="0" applyBorder="0" applyAlignment="0" applyProtection="0">
      <alignment vertical="center"/>
    </xf>
    <xf numFmtId="0" fontId="134" fillId="21" borderId="0" applyNumberFormat="0" applyBorder="0" applyAlignment="0" applyProtection="0">
      <alignment vertical="center"/>
    </xf>
    <xf numFmtId="0" fontId="147" fillId="0" borderId="0">
      <protection locked="0"/>
    </xf>
    <xf numFmtId="0" fontId="0" fillId="0" borderId="0">
      <alignment vertical="center"/>
    </xf>
    <xf numFmtId="0" fontId="4" fillId="0" borderId="0" applyProtection="0"/>
    <xf numFmtId="0" fontId="4" fillId="0" borderId="0">
      <alignment vertical="center"/>
    </xf>
    <xf numFmtId="0" fontId="4" fillId="0" borderId="0" applyProtection="0">
      <alignment vertical="center"/>
    </xf>
    <xf numFmtId="0" fontId="39" fillId="0" borderId="0">
      <alignment vertical="center"/>
    </xf>
    <xf numFmtId="0" fontId="151" fillId="0" borderId="0">
      <alignment vertical="center"/>
    </xf>
    <xf numFmtId="0" fontId="0" fillId="0" borderId="0" applyProtection="0"/>
    <xf numFmtId="0" fontId="0" fillId="0" borderId="0"/>
    <xf numFmtId="0" fontId="0" fillId="0" borderId="0">
      <alignment vertical="center"/>
    </xf>
    <xf numFmtId="0" fontId="0" fillId="0" borderId="0">
      <alignment vertical="center"/>
    </xf>
    <xf numFmtId="0" fontId="151" fillId="0" borderId="0" applyProtection="0">
      <alignment vertical="center"/>
    </xf>
    <xf numFmtId="0" fontId="0" fillId="0" borderId="0"/>
    <xf numFmtId="0" fontId="0" fillId="0" borderId="0" applyProtection="0">
      <alignment vertical="center"/>
    </xf>
  </cellStyleXfs>
  <cellXfs count="573">
    <xf numFmtId="0" fontId="0" fillId="0" borderId="0" xfId="0">
      <alignment vertical="center"/>
    </xf>
    <xf numFmtId="0" fontId="1" fillId="0" borderId="0" xfId="0" applyNumberFormat="1" applyFont="1" applyFill="1" applyBorder="1" applyAlignment="1">
      <alignment vertical="center"/>
    </xf>
    <xf numFmtId="0" fontId="2" fillId="0" borderId="0" xfId="0" applyNumberFormat="1" applyFont="1" applyFill="1" applyBorder="1" applyAlignment="1">
      <alignment vertical="center"/>
    </xf>
    <xf numFmtId="0" fontId="3" fillId="0" borderId="0" xfId="0" applyNumberFormat="1" applyFont="1" applyFill="1" applyBorder="1" applyAlignment="1">
      <alignment vertical="center"/>
    </xf>
    <xf numFmtId="0" fontId="4" fillId="0" borderId="0" xfId="0" applyFont="1" applyFill="1" applyBorder="1" applyAlignment="1">
      <alignment vertical="center"/>
    </xf>
    <xf numFmtId="0" fontId="5" fillId="0" borderId="0" xfId="0" applyNumberFormat="1" applyFont="1" applyFill="1" applyBorder="1" applyAlignment="1" applyProtection="1">
      <alignment horizontal="left" vertical="center" wrapText="1"/>
      <protection locked="0"/>
    </xf>
    <xf numFmtId="0" fontId="1" fillId="0" borderId="0" xfId="0" applyNumberFormat="1" applyFont="1" applyFill="1" applyBorder="1" applyAlignment="1" applyProtection="1">
      <alignment horizontal="left" vertical="center"/>
      <protection locked="0"/>
    </xf>
    <xf numFmtId="179" fontId="6" fillId="0" borderId="0" xfId="0" applyNumberFormat="1" applyFont="1" applyFill="1" applyBorder="1" applyAlignment="1" applyProtection="1">
      <alignment horizontal="center" vertical="center" wrapText="1"/>
      <protection locked="0"/>
    </xf>
    <xf numFmtId="179" fontId="7" fillId="0" borderId="0" xfId="0" applyNumberFormat="1" applyFont="1" applyFill="1" applyBorder="1" applyAlignment="1" applyProtection="1">
      <alignment horizontal="center" vertical="center"/>
      <protection locked="0"/>
    </xf>
    <xf numFmtId="179" fontId="5" fillId="0" borderId="0" xfId="0" applyNumberFormat="1" applyFont="1" applyFill="1" applyBorder="1" applyAlignment="1" applyProtection="1">
      <alignment horizontal="right" vertical="center" wrapText="1"/>
      <protection locked="0"/>
    </xf>
    <xf numFmtId="179" fontId="1" fillId="0" borderId="0" xfId="0" applyNumberFormat="1" applyFont="1" applyFill="1" applyBorder="1" applyAlignment="1" applyProtection="1">
      <alignment horizontal="right" vertical="center"/>
      <protection locked="0"/>
    </xf>
    <xf numFmtId="0" fontId="8" fillId="0" borderId="1" xfId="0" applyNumberFormat="1" applyFont="1" applyFill="1" applyBorder="1" applyAlignment="1" applyProtection="1">
      <alignment horizontal="center" vertical="center" wrapText="1"/>
      <protection locked="0"/>
    </xf>
    <xf numFmtId="0" fontId="9" fillId="0" borderId="2" xfId="0" applyNumberFormat="1" applyFont="1" applyFill="1" applyBorder="1" applyAlignment="1" applyProtection="1">
      <alignment horizontal="center" vertical="center"/>
      <protection locked="0"/>
    </xf>
    <xf numFmtId="177" fontId="9" fillId="0" borderId="1" xfId="0" applyNumberFormat="1" applyFont="1" applyFill="1" applyBorder="1" applyAlignment="1" applyProtection="1">
      <alignment horizontal="center" vertical="center" wrapText="1"/>
      <protection locked="0"/>
    </xf>
    <xf numFmtId="177" fontId="10" fillId="0" borderId="1" xfId="0" applyNumberFormat="1" applyFont="1" applyFill="1" applyBorder="1" applyAlignment="1" applyProtection="1">
      <alignment horizontal="center" vertical="center" wrapText="1"/>
      <protection locked="0"/>
    </xf>
    <xf numFmtId="177" fontId="9" fillId="0" borderId="3"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protection locked="0"/>
    </xf>
    <xf numFmtId="0" fontId="9" fillId="0" borderId="4" xfId="0" applyNumberFormat="1" applyFont="1" applyFill="1" applyBorder="1" applyAlignment="1" applyProtection="1">
      <alignment horizontal="center" vertical="center"/>
      <protection locked="0"/>
    </xf>
    <xf numFmtId="177" fontId="9" fillId="0" borderId="5" xfId="0" applyNumberFormat="1" applyFont="1" applyFill="1" applyBorder="1" applyAlignment="1" applyProtection="1">
      <alignment horizontal="center" vertical="center" wrapText="1"/>
      <protection locked="0"/>
    </xf>
    <xf numFmtId="0" fontId="9" fillId="0" borderId="6" xfId="0" applyNumberFormat="1" applyFont="1" applyFill="1" applyBorder="1" applyAlignment="1" applyProtection="1">
      <alignment horizontal="center" vertical="center"/>
      <protection locked="0"/>
    </xf>
    <xf numFmtId="179" fontId="9" fillId="0" borderId="1" xfId="0" applyNumberFormat="1" applyFont="1" applyFill="1" applyBorder="1" applyAlignment="1" applyProtection="1">
      <alignment horizontal="center" vertical="center" wrapText="1"/>
      <protection locked="0"/>
    </xf>
    <xf numFmtId="176" fontId="9" fillId="0" borderId="1" xfId="0" applyNumberFormat="1" applyFont="1" applyFill="1" applyBorder="1" applyAlignment="1" applyProtection="1">
      <alignment horizontal="center" vertical="center" wrapText="1"/>
      <protection locked="0"/>
    </xf>
    <xf numFmtId="180" fontId="9" fillId="0" borderId="1" xfId="0" applyNumberFormat="1" applyFont="1" applyFill="1" applyBorder="1" applyAlignment="1" applyProtection="1">
      <alignment horizontal="center" vertical="center" wrapText="1"/>
      <protection locked="0"/>
    </xf>
    <xf numFmtId="0" fontId="9" fillId="0" borderId="1" xfId="59" applyNumberFormat="1" applyFont="1" applyFill="1" applyBorder="1" applyAlignment="1">
      <alignment horizontal="center" vertical="center" wrapText="1"/>
    </xf>
    <xf numFmtId="180" fontId="9" fillId="0" borderId="1" xfId="59" applyNumberFormat="1" applyFont="1" applyFill="1" applyBorder="1" applyAlignment="1">
      <alignment horizontal="center" vertical="center"/>
    </xf>
    <xf numFmtId="0" fontId="9" fillId="0" borderId="1" xfId="59" applyNumberFormat="1" applyFont="1" applyFill="1" applyBorder="1" applyAlignment="1">
      <alignment horizontal="center" vertical="center"/>
    </xf>
    <xf numFmtId="177" fontId="9" fillId="0" borderId="1" xfId="59" applyNumberFormat="1" applyFont="1" applyFill="1" applyBorder="1" applyAlignment="1">
      <alignment horizontal="center" vertical="center"/>
    </xf>
    <xf numFmtId="0" fontId="5" fillId="0" borderId="1" xfId="59" applyNumberFormat="1" applyFont="1" applyFill="1" applyBorder="1" applyAlignment="1">
      <alignment horizontal="center" vertical="center" wrapText="1"/>
    </xf>
    <xf numFmtId="0" fontId="5" fillId="0" borderId="1" xfId="59" applyNumberFormat="1" applyFont="1" applyFill="1" applyBorder="1" applyAlignment="1">
      <alignment horizontal="center" vertical="center"/>
    </xf>
    <xf numFmtId="180" fontId="5" fillId="0" borderId="1" xfId="59" applyNumberFormat="1" applyFont="1" applyFill="1" applyBorder="1" applyAlignment="1">
      <alignment horizontal="center" vertical="center"/>
    </xf>
    <xf numFmtId="177" fontId="5" fillId="0" borderId="1" xfId="59" applyNumberFormat="1" applyFont="1" applyFill="1" applyBorder="1" applyAlignment="1">
      <alignment horizontal="center" vertical="center"/>
    </xf>
    <xf numFmtId="0" fontId="11" fillId="0" borderId="7" xfId="59" applyNumberFormat="1" applyFont="1" applyFill="1" applyBorder="1" applyAlignment="1">
      <alignment vertical="top" wrapText="1"/>
    </xf>
    <xf numFmtId="0" fontId="2" fillId="0" borderId="7" xfId="59" applyNumberFormat="1" applyFont="1" applyFill="1" applyBorder="1" applyAlignment="1">
      <alignment vertical="top" wrapText="1"/>
    </xf>
    <xf numFmtId="177" fontId="9" fillId="0" borderId="8" xfId="0" applyNumberFormat="1" applyFont="1" applyFill="1" applyBorder="1" applyAlignment="1" applyProtection="1">
      <alignment horizontal="center" vertical="center" wrapText="1"/>
      <protection locked="0"/>
    </xf>
    <xf numFmtId="177" fontId="9" fillId="0" borderId="9" xfId="0" applyNumberFormat="1" applyFont="1" applyFill="1" applyBorder="1" applyAlignment="1" applyProtection="1">
      <alignment horizontal="center" vertical="center" wrapText="1"/>
      <protection locked="0"/>
    </xf>
    <xf numFmtId="0" fontId="12" fillId="0" borderId="0" xfId="0" applyNumberFormat="1" applyFont="1" applyFill="1" applyAlignment="1">
      <alignment vertical="center"/>
    </xf>
    <xf numFmtId="0" fontId="10" fillId="0" borderId="0" xfId="0" applyNumberFormat="1" applyFont="1" applyFill="1" applyBorder="1" applyAlignment="1">
      <alignment vertical="center"/>
    </xf>
    <xf numFmtId="0" fontId="13" fillId="0" borderId="0" xfId="0" applyFont="1" applyFill="1" applyBorder="1" applyAlignment="1">
      <alignment horizontal="center" vertical="center"/>
    </xf>
    <xf numFmtId="179" fontId="14" fillId="0" borderId="0" xfId="0" applyNumberFormat="1" applyFont="1" applyFill="1" applyBorder="1" applyAlignment="1">
      <alignment vertical="center" wrapText="1"/>
    </xf>
    <xf numFmtId="0" fontId="15" fillId="0" borderId="0" xfId="0" applyFont="1" applyFill="1" applyBorder="1" applyAlignment="1">
      <alignment vertical="center"/>
    </xf>
    <xf numFmtId="0" fontId="16" fillId="0" borderId="0" xfId="16" applyFont="1" applyAlignment="1"/>
    <xf numFmtId="179" fontId="16" fillId="0" borderId="0" xfId="16" applyNumberFormat="1" applyFont="1" applyAlignment="1"/>
    <xf numFmtId="181" fontId="16" fillId="0" borderId="0" xfId="16" applyNumberFormat="1" applyFont="1" applyAlignment="1"/>
    <xf numFmtId="0" fontId="17" fillId="0" borderId="0" xfId="16" applyFont="1" applyAlignment="1">
      <alignment horizontal="left"/>
    </xf>
    <xf numFmtId="0" fontId="18" fillId="0" borderId="0" xfId="16" applyFont="1" applyFill="1" applyAlignment="1">
      <alignment horizontal="center" vertical="center" wrapText="1"/>
    </xf>
    <xf numFmtId="0" fontId="19" fillId="0" borderId="0" xfId="16" applyFont="1" applyAlignment="1">
      <alignment vertical="center"/>
    </xf>
    <xf numFmtId="0" fontId="20" fillId="0" borderId="0" xfId="16" applyFont="1" applyAlignment="1">
      <alignment horizontal="right" vertical="center" wrapText="1"/>
    </xf>
    <xf numFmtId="0" fontId="21" fillId="0" borderId="0" xfId="16" applyFont="1" applyAlignment="1">
      <alignment vertical="center" wrapText="1"/>
    </xf>
    <xf numFmtId="176" fontId="22" fillId="0" borderId="1" xfId="63" applyNumberFormat="1" applyFont="1" applyFill="1" applyBorder="1" applyAlignment="1">
      <alignment horizontal="center" vertical="center" wrapText="1"/>
    </xf>
    <xf numFmtId="179" fontId="23" fillId="0" borderId="1" xfId="63" applyNumberFormat="1"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179" fontId="23" fillId="0" borderId="1" xfId="63" applyNumberFormat="1" applyFont="1" applyFill="1" applyBorder="1" applyAlignment="1">
      <alignment horizontal="left" vertical="center" wrapText="1"/>
    </xf>
    <xf numFmtId="179" fontId="24" fillId="0" borderId="1" xfId="63" applyNumberFormat="1"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0" fontId="25" fillId="0" borderId="0" xfId="0" applyFont="1" applyFill="1" applyBorder="1" applyAlignment="1">
      <alignment horizontal="left" vertical="top" wrapText="1"/>
    </xf>
    <xf numFmtId="0" fontId="26" fillId="0" borderId="0" xfId="0" applyFont="1" applyFill="1" applyBorder="1" applyAlignment="1">
      <alignment vertical="center"/>
    </xf>
    <xf numFmtId="0" fontId="26" fillId="0" borderId="0" xfId="0" applyFont="1" applyFill="1" applyBorder="1" applyAlignment="1">
      <alignment vertical="center" wrapText="1"/>
    </xf>
    <xf numFmtId="0" fontId="11" fillId="0" borderId="0" xfId="0" applyFont="1" applyFill="1" applyBorder="1" applyAlignment="1">
      <alignment vertical="center"/>
    </xf>
    <xf numFmtId="0" fontId="5" fillId="0" borderId="0" xfId="0" applyFont="1" applyFill="1" applyBorder="1" applyAlignment="1">
      <alignment vertical="center"/>
    </xf>
    <xf numFmtId="0" fontId="27" fillId="0" borderId="0" xfId="0" applyFont="1" applyFill="1" applyBorder="1" applyAlignment="1">
      <alignment vertical="center"/>
    </xf>
    <xf numFmtId="0" fontId="28" fillId="0" borderId="0" xfId="0" applyFont="1" applyFill="1" applyBorder="1" applyAlignment="1">
      <alignment horizontal="center" vertical="center"/>
    </xf>
    <xf numFmtId="180" fontId="28" fillId="0" borderId="0" xfId="0" applyNumberFormat="1" applyFont="1" applyFill="1" applyBorder="1" applyAlignment="1">
      <alignment horizontal="center" vertical="center"/>
    </xf>
    <xf numFmtId="0" fontId="29" fillId="0" borderId="0" xfId="0" applyFont="1" applyFill="1" applyBorder="1" applyAlignment="1">
      <alignment horizontal="center" vertical="center"/>
    </xf>
    <xf numFmtId="180" fontId="29" fillId="0" borderId="0" xfId="0" applyNumberFormat="1" applyFont="1" applyFill="1" applyBorder="1" applyAlignment="1">
      <alignment horizontal="center" vertical="center"/>
    </xf>
    <xf numFmtId="0" fontId="30" fillId="0" borderId="1" xfId="0" applyFont="1" applyFill="1" applyBorder="1" applyAlignment="1">
      <alignment horizontal="center" vertical="center" wrapText="1"/>
    </xf>
    <xf numFmtId="180" fontId="30" fillId="0" borderId="1" xfId="0" applyNumberFormat="1"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11" xfId="0" applyFont="1" applyFill="1" applyBorder="1" applyAlignment="1">
      <alignment horizontal="center" vertical="center" wrapText="1"/>
    </xf>
    <xf numFmtId="180" fontId="30" fillId="0" borderId="11" xfId="0" applyNumberFormat="1" applyFont="1" applyFill="1" applyBorder="1" applyAlignment="1">
      <alignment horizontal="center" vertical="center" wrapText="1"/>
    </xf>
    <xf numFmtId="0" fontId="30" fillId="0" borderId="12" xfId="0" applyFont="1" applyFill="1" applyBorder="1" applyAlignment="1">
      <alignment horizontal="center" vertical="center" wrapText="1"/>
    </xf>
    <xf numFmtId="180" fontId="30" fillId="0" borderId="12" xfId="0" applyNumberFormat="1" applyFont="1" applyFill="1" applyBorder="1" applyAlignment="1">
      <alignment horizontal="center" vertical="center" wrapText="1"/>
    </xf>
    <xf numFmtId="180" fontId="30" fillId="0" borderId="1" xfId="0" applyNumberFormat="1" applyFont="1" applyFill="1" applyBorder="1" applyAlignment="1">
      <alignment horizontal="center" vertical="center"/>
    </xf>
    <xf numFmtId="0" fontId="30"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180" fontId="31" fillId="0" borderId="1" xfId="0" applyNumberFormat="1" applyFont="1" applyFill="1" applyBorder="1" applyAlignment="1">
      <alignment horizontal="center" vertical="center" wrapText="1"/>
    </xf>
    <xf numFmtId="0" fontId="32" fillId="0" borderId="1" xfId="67" applyFont="1" applyFill="1" applyBorder="1" applyAlignment="1">
      <alignment horizontal="center" vertical="center" wrapText="1"/>
    </xf>
    <xf numFmtId="0" fontId="33" fillId="0" borderId="0" xfId="0" applyFont="1" applyFill="1" applyAlignment="1">
      <alignment horizontal="center" vertical="center"/>
    </xf>
    <xf numFmtId="0" fontId="34" fillId="0" borderId="0" xfId="0" applyFont="1" applyFill="1" applyBorder="1" applyAlignment="1">
      <alignment vertical="center"/>
    </xf>
    <xf numFmtId="0" fontId="35" fillId="0" borderId="0" xfId="0" applyFont="1" applyFill="1" applyBorder="1" applyAlignment="1">
      <alignment horizontal="right" vertical="center"/>
    </xf>
    <xf numFmtId="0" fontId="36" fillId="0" borderId="0" xfId="0" applyFont="1" applyFill="1" applyBorder="1" applyAlignment="1">
      <alignment horizontal="center" vertical="center"/>
    </xf>
    <xf numFmtId="179" fontId="37" fillId="0" borderId="0" xfId="0" applyNumberFormat="1" applyFont="1" applyFill="1" applyBorder="1" applyAlignment="1">
      <alignment vertical="center" wrapText="1"/>
    </xf>
    <xf numFmtId="0" fontId="38" fillId="0" borderId="0" xfId="0" applyFont="1" applyFill="1" applyBorder="1" applyAlignment="1">
      <alignment vertical="center"/>
    </xf>
    <xf numFmtId="0" fontId="39" fillId="0" borderId="0" xfId="0" applyFont="1" applyFill="1" applyBorder="1" applyAlignment="1">
      <alignment vertical="center"/>
    </xf>
    <xf numFmtId="180" fontId="39" fillId="0" borderId="0" xfId="0" applyNumberFormat="1" applyFont="1" applyFill="1" applyBorder="1" applyAlignment="1">
      <alignment vertical="center"/>
    </xf>
    <xf numFmtId="0" fontId="39" fillId="0" borderId="0" xfId="0" applyFont="1" applyFill="1" applyBorder="1" applyAlignment="1">
      <alignment vertical="center" wrapText="1"/>
    </xf>
    <xf numFmtId="180" fontId="39" fillId="0" borderId="0" xfId="0" applyNumberFormat="1" applyFont="1" applyFill="1" applyBorder="1" applyAlignment="1">
      <alignment horizontal="center" vertical="center"/>
    </xf>
    <xf numFmtId="179" fontId="39" fillId="0" borderId="0" xfId="0" applyNumberFormat="1" applyFont="1" applyFill="1" applyAlignment="1">
      <alignment vertical="center"/>
    </xf>
    <xf numFmtId="0" fontId="40" fillId="0" borderId="0" xfId="0" applyFont="1" applyFill="1" applyAlignment="1">
      <alignment vertical="center" wrapText="1"/>
    </xf>
    <xf numFmtId="179" fontId="40" fillId="0" borderId="0" xfId="0" applyNumberFormat="1" applyFont="1" applyFill="1" applyAlignment="1">
      <alignment vertical="center" wrapText="1"/>
    </xf>
    <xf numFmtId="0" fontId="41" fillId="0" borderId="0" xfId="0" applyFont="1" applyFill="1" applyAlignment="1">
      <alignment horizontal="center" vertical="center"/>
    </xf>
    <xf numFmtId="0" fontId="42" fillId="0" borderId="0" xfId="0" applyFont="1" applyFill="1" applyAlignment="1">
      <alignment horizontal="center" vertical="center"/>
    </xf>
    <xf numFmtId="0" fontId="43" fillId="0" borderId="0" xfId="0" applyFont="1" applyFill="1" applyAlignment="1">
      <alignment horizontal="right" vertical="center" wrapText="1"/>
    </xf>
    <xf numFmtId="176" fontId="44" fillId="0" borderId="3" xfId="63" applyNumberFormat="1" applyFont="1" applyFill="1" applyBorder="1" applyAlignment="1">
      <alignment horizontal="center" vertical="center" wrapText="1"/>
    </xf>
    <xf numFmtId="176" fontId="44" fillId="0" borderId="8" xfId="63" applyNumberFormat="1" applyFont="1" applyFill="1" applyBorder="1" applyAlignment="1">
      <alignment horizontal="center" vertical="center" wrapText="1"/>
    </xf>
    <xf numFmtId="176" fontId="44" fillId="0" borderId="1" xfId="63" applyNumberFormat="1" applyFont="1" applyFill="1" applyBorder="1" applyAlignment="1">
      <alignment horizontal="center" vertical="center" wrapText="1"/>
    </xf>
    <xf numFmtId="176" fontId="44" fillId="0" borderId="13" xfId="63" applyNumberFormat="1" applyFont="1" applyFill="1" applyBorder="1" applyAlignment="1">
      <alignment horizontal="center" vertical="center" wrapText="1"/>
    </xf>
    <xf numFmtId="176" fontId="44" fillId="0" borderId="14" xfId="63" applyNumberFormat="1" applyFont="1" applyFill="1" applyBorder="1" applyAlignment="1">
      <alignment horizontal="center" vertical="center" wrapText="1"/>
    </xf>
    <xf numFmtId="180" fontId="44" fillId="0" borderId="1" xfId="63" applyNumberFormat="1" applyFont="1" applyFill="1" applyBorder="1" applyAlignment="1">
      <alignment horizontal="center" vertical="center" wrapText="1"/>
    </xf>
    <xf numFmtId="176" fontId="44" fillId="0" borderId="5" xfId="63" applyNumberFormat="1" applyFont="1" applyFill="1" applyBorder="1" applyAlignment="1">
      <alignment horizontal="center" vertical="center" wrapText="1"/>
    </xf>
    <xf numFmtId="176" fontId="44" fillId="0" borderId="9" xfId="63" applyNumberFormat="1" applyFont="1" applyFill="1" applyBorder="1" applyAlignment="1">
      <alignment horizontal="center" vertical="center" wrapText="1"/>
    </xf>
    <xf numFmtId="179" fontId="45" fillId="0" borderId="10" xfId="63" applyNumberFormat="1" applyFont="1" applyFill="1" applyBorder="1" applyAlignment="1">
      <alignment horizontal="center" vertical="center" wrapText="1"/>
    </xf>
    <xf numFmtId="179" fontId="45" fillId="0" borderId="12" xfId="63" applyNumberFormat="1" applyFont="1" applyFill="1" applyBorder="1" applyAlignment="1">
      <alignment horizontal="center" vertical="center" wrapText="1"/>
    </xf>
    <xf numFmtId="179" fontId="45" fillId="0" borderId="1" xfId="63" applyNumberFormat="1" applyFont="1" applyFill="1" applyBorder="1" applyAlignment="1">
      <alignment horizontal="center" vertical="center" wrapText="1"/>
    </xf>
    <xf numFmtId="176" fontId="45" fillId="0" borderId="1" xfId="0" applyNumberFormat="1" applyFont="1" applyFill="1" applyBorder="1" applyAlignment="1">
      <alignment horizontal="center" vertical="center" wrapText="1"/>
    </xf>
    <xf numFmtId="179" fontId="46" fillId="0" borderId="10" xfId="63" applyNumberFormat="1" applyFont="1" applyFill="1" applyBorder="1" applyAlignment="1">
      <alignment horizontal="center" vertical="center" wrapText="1"/>
    </xf>
    <xf numFmtId="179" fontId="46" fillId="0" borderId="12" xfId="63" applyNumberFormat="1" applyFont="1" applyFill="1" applyBorder="1" applyAlignment="1">
      <alignment horizontal="center" vertical="center" wrapText="1"/>
    </xf>
    <xf numFmtId="176" fontId="46" fillId="0" borderId="1" xfId="0" applyNumberFormat="1" applyFont="1" applyFill="1" applyBorder="1" applyAlignment="1">
      <alignment horizontal="center" vertical="center" wrapText="1"/>
    </xf>
    <xf numFmtId="179" fontId="45" fillId="0" borderId="1" xfId="0" applyNumberFormat="1" applyFont="1" applyFill="1" applyBorder="1" applyAlignment="1">
      <alignment horizontal="center" vertical="center" wrapText="1"/>
    </xf>
    <xf numFmtId="0" fontId="46" fillId="0" borderId="1" xfId="0" applyFont="1" applyFill="1" applyBorder="1" applyAlignment="1">
      <alignment horizontal="center" vertical="center" wrapText="1"/>
    </xf>
    <xf numFmtId="179" fontId="46" fillId="0" borderId="1" xfId="63" applyNumberFormat="1" applyFont="1" applyFill="1" applyBorder="1" applyAlignment="1">
      <alignment horizontal="center" vertical="center" wrapText="1"/>
    </xf>
    <xf numFmtId="0" fontId="47" fillId="0" borderId="0" xfId="0" applyFont="1" applyFill="1" applyAlignment="1">
      <alignment horizontal="left" vertical="top" wrapText="1"/>
    </xf>
    <xf numFmtId="0" fontId="44" fillId="0" borderId="1" xfId="0" applyFont="1" applyFill="1" applyBorder="1" applyAlignment="1">
      <alignment horizontal="center" vertical="center" wrapText="1"/>
    </xf>
    <xf numFmtId="176" fontId="45" fillId="0" borderId="1" xfId="69" applyNumberFormat="1" applyFont="1" applyFill="1" applyBorder="1" applyAlignment="1">
      <alignment horizontal="center" vertical="center" wrapText="1"/>
    </xf>
    <xf numFmtId="180" fontId="46" fillId="0" borderId="1" xfId="0" applyNumberFormat="1" applyFont="1" applyFill="1" applyBorder="1" applyAlignment="1">
      <alignment horizontal="center" vertical="center" wrapText="1"/>
    </xf>
    <xf numFmtId="176" fontId="46" fillId="0" borderId="1" xfId="69" applyNumberFormat="1" applyFont="1" applyFill="1" applyBorder="1" applyAlignment="1">
      <alignment horizontal="center" vertical="center" wrapText="1"/>
    </xf>
    <xf numFmtId="180" fontId="45" fillId="0" borderId="1" xfId="0" applyNumberFormat="1" applyFont="1" applyFill="1" applyBorder="1" applyAlignment="1">
      <alignment horizontal="center" vertical="center" wrapText="1"/>
    </xf>
    <xf numFmtId="0" fontId="48" fillId="0" borderId="1" xfId="0" applyFont="1" applyFill="1" applyBorder="1" applyAlignment="1">
      <alignment horizontal="center" vertical="center" wrapText="1"/>
    </xf>
    <xf numFmtId="0" fontId="44" fillId="0" borderId="1" xfId="0" applyNumberFormat="1" applyFont="1" applyFill="1" applyBorder="1" applyAlignment="1">
      <alignment horizontal="center" vertical="center" wrapText="1"/>
    </xf>
    <xf numFmtId="0" fontId="44" fillId="0" borderId="1" xfId="0" applyFont="1" applyFill="1" applyBorder="1" applyAlignment="1">
      <alignment vertical="center" wrapText="1"/>
    </xf>
    <xf numFmtId="179" fontId="49" fillId="0" borderId="1" xfId="0" applyNumberFormat="1" applyFont="1" applyFill="1" applyBorder="1" applyAlignment="1">
      <alignment horizontal="center" vertical="center" wrapText="1"/>
    </xf>
    <xf numFmtId="176" fontId="45" fillId="0" borderId="1" xfId="63" applyNumberFormat="1" applyFont="1" applyFill="1" applyBorder="1" applyAlignment="1">
      <alignment horizontal="center" vertical="center" wrapText="1"/>
    </xf>
    <xf numFmtId="0" fontId="45" fillId="0" borderId="1" xfId="63" applyNumberFormat="1" applyFont="1" applyFill="1" applyBorder="1" applyAlignment="1">
      <alignment horizontal="center" vertical="center" wrapText="1"/>
    </xf>
    <xf numFmtId="176" fontId="48" fillId="0" borderId="1" xfId="0" applyNumberFormat="1" applyFont="1" applyFill="1" applyBorder="1" applyAlignment="1">
      <alignment horizontal="center" vertical="center" wrapText="1"/>
    </xf>
    <xf numFmtId="179" fontId="44" fillId="0" borderId="1" xfId="0" applyNumberFormat="1" applyFont="1" applyFill="1" applyBorder="1" applyAlignment="1">
      <alignment horizontal="center" vertical="center" wrapText="1"/>
    </xf>
    <xf numFmtId="180" fontId="44" fillId="0" borderId="1" xfId="0" applyNumberFormat="1" applyFont="1" applyFill="1" applyBorder="1" applyAlignment="1">
      <alignment vertical="center" wrapText="1"/>
    </xf>
    <xf numFmtId="0" fontId="50" fillId="0" borderId="1" xfId="0" applyFont="1" applyFill="1" applyBorder="1" applyAlignment="1">
      <alignment horizontal="center" vertical="center" wrapText="1"/>
    </xf>
    <xf numFmtId="0" fontId="50" fillId="0" borderId="1" xfId="0" applyFont="1" applyFill="1" applyBorder="1" applyAlignment="1">
      <alignment vertical="center" wrapText="1"/>
    </xf>
    <xf numFmtId="179" fontId="46" fillId="0" borderId="1" xfId="69" applyNumberFormat="1" applyFont="1" applyFill="1" applyBorder="1" applyAlignment="1">
      <alignment horizontal="center" vertical="center" wrapText="1"/>
    </xf>
    <xf numFmtId="180" fontId="51" fillId="0" borderId="1" xfId="0" applyNumberFormat="1" applyFont="1" applyFill="1" applyBorder="1" applyAlignment="1">
      <alignment horizontal="center" vertical="center" wrapText="1"/>
    </xf>
    <xf numFmtId="0" fontId="46" fillId="0" borderId="1" xfId="0" applyFont="1" applyFill="1" applyBorder="1" applyAlignment="1">
      <alignment vertical="center" wrapText="1"/>
    </xf>
    <xf numFmtId="179" fontId="46" fillId="0" borderId="1" xfId="0" applyNumberFormat="1" applyFont="1" applyFill="1" applyBorder="1" applyAlignment="1">
      <alignment vertical="center" wrapText="1"/>
    </xf>
    <xf numFmtId="176" fontId="44" fillId="0" borderId="1" xfId="0" applyNumberFormat="1" applyFont="1" applyFill="1" applyBorder="1" applyAlignment="1">
      <alignment horizontal="center" vertical="center" wrapText="1"/>
    </xf>
    <xf numFmtId="0" fontId="52" fillId="0" borderId="1"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53" fillId="0" borderId="1" xfId="0" applyFont="1" applyFill="1" applyBorder="1" applyAlignment="1">
      <alignment horizontal="center" vertical="center" wrapText="1"/>
    </xf>
    <xf numFmtId="179" fontId="48" fillId="0" borderId="1" xfId="0" applyNumberFormat="1" applyFont="1" applyFill="1" applyBorder="1" applyAlignment="1">
      <alignment horizontal="center" vertical="center" wrapText="1"/>
    </xf>
    <xf numFmtId="176" fontId="48" fillId="0" borderId="1" xfId="0" applyNumberFormat="1" applyFont="1" applyFill="1" applyBorder="1" applyAlignment="1">
      <alignment vertical="center" wrapText="1"/>
    </xf>
    <xf numFmtId="179" fontId="51" fillId="0" borderId="1" xfId="0" applyNumberFormat="1" applyFont="1" applyFill="1" applyBorder="1" applyAlignment="1">
      <alignment horizontal="center" vertical="center" wrapText="1"/>
    </xf>
    <xf numFmtId="179" fontId="50" fillId="0" borderId="1" xfId="0" applyNumberFormat="1" applyFont="1" applyFill="1" applyBorder="1" applyAlignment="1">
      <alignment vertical="center" wrapText="1"/>
    </xf>
    <xf numFmtId="0" fontId="54" fillId="0" borderId="0" xfId="0" applyNumberFormat="1" applyFont="1" applyFill="1" applyBorder="1" applyAlignment="1">
      <alignment horizontal="left" vertical="center"/>
    </xf>
    <xf numFmtId="0" fontId="4" fillId="0" borderId="0" xfId="0" applyNumberFormat="1" applyFont="1" applyFill="1" applyBorder="1" applyAlignment="1">
      <alignment vertical="center"/>
    </xf>
    <xf numFmtId="0" fontId="55"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6" fillId="0" borderId="0" xfId="0" applyFont="1">
      <alignment vertical="center"/>
    </xf>
    <xf numFmtId="0" fontId="57" fillId="0" borderId="1" xfId="0" applyNumberFormat="1" applyFont="1" applyFill="1" applyBorder="1" applyAlignment="1">
      <alignment horizontal="center" vertical="center" wrapText="1"/>
    </xf>
    <xf numFmtId="0" fontId="30" fillId="0" borderId="1" xfId="0" applyNumberFormat="1" applyFont="1" applyFill="1" applyBorder="1" applyAlignment="1">
      <alignment horizontal="center" vertical="center"/>
    </xf>
    <xf numFmtId="0" fontId="30" fillId="0" borderId="1" xfId="0" applyNumberFormat="1" applyFont="1" applyFill="1" applyBorder="1" applyAlignment="1">
      <alignment horizontal="left" vertical="center" wrapText="1"/>
    </xf>
    <xf numFmtId="0" fontId="30" fillId="0" borderId="1"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0" fontId="31" fillId="0" borderId="1" xfId="0" applyNumberFormat="1" applyFont="1" applyFill="1" applyBorder="1" applyAlignment="1">
      <alignment horizontal="center" vertical="center" wrapText="1"/>
    </xf>
    <xf numFmtId="180" fontId="31" fillId="0" borderId="10" xfId="0" applyNumberFormat="1" applyFont="1" applyFill="1" applyBorder="1" applyAlignment="1">
      <alignment horizontal="center" vertical="center" wrapText="1"/>
    </xf>
    <xf numFmtId="180" fontId="31" fillId="0" borderId="11" xfId="0" applyNumberFormat="1" applyFont="1" applyFill="1" applyBorder="1" applyAlignment="1">
      <alignment horizontal="center" vertical="center" wrapText="1"/>
    </xf>
    <xf numFmtId="180" fontId="31" fillId="0" borderId="12" xfId="0" applyNumberFormat="1" applyFont="1" applyFill="1" applyBorder="1" applyAlignment="1">
      <alignment horizontal="center" vertical="center" wrapText="1"/>
    </xf>
    <xf numFmtId="0" fontId="58" fillId="0" borderId="0" xfId="41" applyNumberFormat="1" applyFont="1" applyFill="1" applyBorder="1" applyAlignment="1" applyProtection="1">
      <alignment horizontal="left" vertical="top" wrapText="1"/>
    </xf>
    <xf numFmtId="0" fontId="0" fillId="0" borderId="0" xfId="0" applyFont="1" applyFill="1" applyBorder="1" applyAlignment="1">
      <alignment vertical="center"/>
    </xf>
    <xf numFmtId="0" fontId="32" fillId="0" borderId="0" xfId="0" applyFont="1" applyFill="1" applyBorder="1" applyAlignment="1">
      <alignment vertical="center"/>
    </xf>
    <xf numFmtId="0" fontId="39" fillId="0" borderId="0" xfId="0" applyFont="1" applyFill="1" applyBorder="1" applyAlignment="1">
      <alignment horizontal="center" vertical="center"/>
    </xf>
    <xf numFmtId="179" fontId="39" fillId="0" borderId="0" xfId="0" applyNumberFormat="1" applyFont="1" applyFill="1" applyBorder="1" applyAlignment="1">
      <alignment vertical="center"/>
    </xf>
    <xf numFmtId="0" fontId="59" fillId="0" borderId="0" xfId="0" applyFont="1" applyFill="1" applyBorder="1" applyAlignment="1">
      <alignment horizontal="left" vertical="center"/>
    </xf>
    <xf numFmtId="180" fontId="60" fillId="0" borderId="0" xfId="0" applyNumberFormat="1" applyFont="1" applyFill="1" applyBorder="1" applyAlignment="1">
      <alignment vertical="center"/>
    </xf>
    <xf numFmtId="0" fontId="61" fillId="0" borderId="0" xfId="0" applyFont="1" applyFill="1" applyAlignment="1">
      <alignment horizontal="center" vertical="center" wrapText="1"/>
    </xf>
    <xf numFmtId="0" fontId="62" fillId="0" borderId="0" xfId="0" applyFont="1" applyFill="1" applyBorder="1" applyAlignment="1">
      <alignment vertical="center"/>
    </xf>
    <xf numFmtId="0" fontId="9"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7"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177" fontId="30" fillId="0" borderId="1" xfId="0" applyNumberFormat="1" applyFont="1" applyFill="1" applyBorder="1" applyAlignment="1">
      <alignment horizontal="center" vertical="center" wrapText="1"/>
    </xf>
    <xf numFmtId="0" fontId="31" fillId="0" borderId="1" xfId="0" applyFont="1" applyFill="1" applyBorder="1" applyAlignment="1">
      <alignment horizontal="left" vertical="center" wrapText="1"/>
    </xf>
    <xf numFmtId="177" fontId="26" fillId="0" borderId="1" xfId="0" applyNumberFormat="1"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32" fillId="0" borderId="0" xfId="0" applyFont="1" applyFill="1" applyAlignment="1">
      <alignment horizontal="left" vertical="center" wrapText="1"/>
    </xf>
    <xf numFmtId="0" fontId="31" fillId="0" borderId="2" xfId="0" applyNumberFormat="1" applyFont="1" applyFill="1" applyBorder="1" applyAlignment="1">
      <alignment horizontal="center" vertical="center" wrapText="1"/>
    </xf>
    <xf numFmtId="0" fontId="31" fillId="0" borderId="1" xfId="0" applyNumberFormat="1" applyFont="1" applyFill="1" applyBorder="1" applyAlignment="1">
      <alignment horizontal="left" vertical="center" wrapText="1"/>
    </xf>
    <xf numFmtId="43" fontId="63" fillId="0" borderId="0" xfId="0" applyNumberFormat="1" applyFont="1" applyFill="1" applyBorder="1" applyAlignment="1">
      <alignment vertical="center"/>
    </xf>
    <xf numFmtId="43" fontId="64" fillId="0" borderId="0" xfId="0" applyNumberFormat="1" applyFont="1" applyFill="1" applyBorder="1" applyAlignment="1">
      <alignment horizontal="center" vertical="center"/>
    </xf>
    <xf numFmtId="43" fontId="65" fillId="0" borderId="0" xfId="0" applyNumberFormat="1" applyFont="1" applyFill="1" applyBorder="1" applyAlignment="1">
      <alignment vertical="center"/>
    </xf>
    <xf numFmtId="43" fontId="22" fillId="0" borderId="0" xfId="0" applyNumberFormat="1" applyFont="1" applyFill="1" applyBorder="1" applyAlignment="1">
      <alignment horizontal="left" vertical="center"/>
    </xf>
    <xf numFmtId="43" fontId="66" fillId="0" borderId="0" xfId="0" applyNumberFormat="1" applyFont="1" applyFill="1" applyAlignment="1">
      <alignment horizontal="center" vertical="center"/>
    </xf>
    <xf numFmtId="43" fontId="64" fillId="0" borderId="0" xfId="0" applyNumberFormat="1" applyFont="1" applyFill="1" applyAlignment="1">
      <alignment horizontal="center" vertical="center"/>
    </xf>
    <xf numFmtId="43" fontId="20" fillId="0" borderId="0" xfId="0" applyNumberFormat="1" applyFont="1" applyFill="1" applyAlignment="1">
      <alignment horizontal="center" vertical="center"/>
    </xf>
    <xf numFmtId="43" fontId="22" fillId="0" borderId="2" xfId="63" applyNumberFormat="1" applyFont="1" applyFill="1" applyBorder="1" applyAlignment="1">
      <alignment horizontal="center" vertical="center" wrapText="1"/>
    </xf>
    <xf numFmtId="43" fontId="22" fillId="0" borderId="1" xfId="63" applyNumberFormat="1" applyFont="1" applyFill="1" applyBorder="1" applyAlignment="1">
      <alignment horizontal="center" vertical="center" wrapText="1"/>
    </xf>
    <xf numFmtId="43" fontId="22" fillId="0" borderId="1" xfId="0" applyNumberFormat="1" applyFont="1" applyFill="1" applyBorder="1" applyAlignment="1">
      <alignment horizontal="center" vertical="center" wrapText="1"/>
    </xf>
    <xf numFmtId="43" fontId="23" fillId="0" borderId="1" xfId="63" applyNumberFormat="1" applyFont="1" applyFill="1" applyBorder="1" applyAlignment="1">
      <alignment horizontal="center" vertical="center" wrapText="1"/>
    </xf>
    <xf numFmtId="43" fontId="23" fillId="0" borderId="1" xfId="63" applyNumberFormat="1" applyFont="1" applyFill="1" applyBorder="1" applyAlignment="1">
      <alignment vertical="center" wrapText="1"/>
    </xf>
    <xf numFmtId="179" fontId="23" fillId="0" borderId="1" xfId="63" applyNumberFormat="1" applyFont="1" applyFill="1" applyBorder="1" applyAlignment="1">
      <alignment vertical="center" wrapText="1"/>
    </xf>
    <xf numFmtId="179" fontId="24" fillId="0" borderId="1" xfId="63" applyNumberFormat="1" applyFont="1" applyFill="1" applyBorder="1" applyAlignment="1">
      <alignment vertical="center" wrapText="1"/>
    </xf>
    <xf numFmtId="43" fontId="24" fillId="0" borderId="1" xfId="63" applyNumberFormat="1" applyFont="1" applyFill="1" applyBorder="1" applyAlignment="1">
      <alignment vertical="center" wrapText="1"/>
    </xf>
    <xf numFmtId="0" fontId="30" fillId="0" borderId="7" xfId="59" applyNumberFormat="1" applyFont="1" applyFill="1" applyBorder="1" applyAlignment="1">
      <alignment vertical="top" wrapText="1"/>
    </xf>
    <xf numFmtId="43" fontId="22" fillId="0" borderId="1" xfId="0" applyNumberFormat="1" applyFont="1" applyFill="1" applyBorder="1" applyAlignment="1">
      <alignment horizontal="center" vertical="center"/>
    </xf>
    <xf numFmtId="0" fontId="17" fillId="0" borderId="0" xfId="0" applyFont="1" applyFill="1" applyBorder="1" applyAlignment="1">
      <alignment horizontal="left" vertical="center"/>
    </xf>
    <xf numFmtId="0" fontId="39" fillId="0" borderId="0" xfId="0" applyFont="1" applyFill="1" applyBorder="1" applyAlignment="1">
      <alignment horizontal="left" vertical="center"/>
    </xf>
    <xf numFmtId="0" fontId="67" fillId="0" borderId="0" xfId="0" applyFont="1" applyFill="1" applyBorder="1" applyAlignment="1">
      <alignment horizontal="center" vertical="center" wrapText="1"/>
    </xf>
    <xf numFmtId="0" fontId="25" fillId="0" borderId="0" xfId="0" applyFont="1" applyFill="1" applyBorder="1" applyAlignment="1">
      <alignment horizontal="left" vertical="center"/>
    </xf>
    <xf numFmtId="0" fontId="59" fillId="0" borderId="2" xfId="0" applyFont="1" applyFill="1" applyBorder="1" applyAlignment="1">
      <alignment horizontal="left" vertical="center"/>
    </xf>
    <xf numFmtId="0" fontId="59" fillId="0" borderId="10" xfId="0" applyFont="1" applyFill="1" applyBorder="1" applyAlignment="1">
      <alignment horizontal="center" vertical="center"/>
    </xf>
    <xf numFmtId="0" fontId="59" fillId="0" borderId="11" xfId="0" applyFont="1" applyFill="1" applyBorder="1" applyAlignment="1">
      <alignment horizontal="center" vertical="center"/>
    </xf>
    <xf numFmtId="0" fontId="59" fillId="0" borderId="6" xfId="0" applyFont="1" applyFill="1" applyBorder="1" applyAlignment="1">
      <alignment horizontal="left" vertical="center"/>
    </xf>
    <xf numFmtId="0" fontId="59" fillId="0" borderId="1" xfId="0" applyFont="1" applyFill="1" applyBorder="1" applyAlignment="1">
      <alignment horizontal="left" vertical="center" wrapText="1"/>
    </xf>
    <xf numFmtId="0" fontId="59" fillId="0" borderId="1" xfId="0" applyFont="1" applyFill="1" applyBorder="1" applyAlignment="1">
      <alignment horizontal="left" vertical="center"/>
    </xf>
    <xf numFmtId="0" fontId="68" fillId="0" borderId="1" xfId="0" applyFont="1" applyFill="1" applyBorder="1" applyAlignment="1">
      <alignment horizontal="left" vertical="center"/>
    </xf>
    <xf numFmtId="180" fontId="68" fillId="0" borderId="1" xfId="0" applyNumberFormat="1" applyFont="1" applyFill="1" applyBorder="1" applyAlignment="1">
      <alignment horizontal="left" vertical="center"/>
    </xf>
    <xf numFmtId="0" fontId="69" fillId="0" borderId="2" xfId="0" applyFont="1" applyFill="1" applyBorder="1" applyAlignment="1">
      <alignment horizontal="left" vertical="center"/>
    </xf>
    <xf numFmtId="180" fontId="69" fillId="0" borderId="2" xfId="0" applyNumberFormat="1" applyFont="1" applyFill="1" applyBorder="1" applyAlignment="1">
      <alignment horizontal="left" vertical="center"/>
    </xf>
    <xf numFmtId="0" fontId="69" fillId="0" borderId="1" xfId="0" applyFont="1" applyFill="1" applyBorder="1" applyAlignment="1">
      <alignment horizontal="left" vertical="center"/>
    </xf>
    <xf numFmtId="180" fontId="69" fillId="0" borderId="1" xfId="0" applyNumberFormat="1" applyFont="1" applyFill="1" applyBorder="1" applyAlignment="1">
      <alignment horizontal="left" vertical="center"/>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1" fillId="0" borderId="0" xfId="0" applyFont="1" applyFill="1" applyAlignment="1">
      <alignment horizontal="center" vertical="center"/>
    </xf>
    <xf numFmtId="0" fontId="39" fillId="0" borderId="0" xfId="0" applyFont="1" applyFill="1" applyAlignment="1">
      <alignment horizontal="center" vertical="center"/>
    </xf>
    <xf numFmtId="0" fontId="59" fillId="0" borderId="12" xfId="0" applyFont="1" applyFill="1" applyBorder="1" applyAlignment="1">
      <alignment horizontal="center" vertical="center"/>
    </xf>
    <xf numFmtId="0" fontId="59" fillId="0" borderId="1" xfId="0" applyFont="1" applyFill="1" applyBorder="1" applyAlignment="1">
      <alignment horizontal="center" vertical="center"/>
    </xf>
    <xf numFmtId="0" fontId="72" fillId="0" borderId="0" xfId="0" applyFont="1" applyBorder="1" applyAlignment="1">
      <alignment horizontal="center" vertical="center"/>
    </xf>
    <xf numFmtId="177" fontId="32" fillId="0" borderId="1" xfId="0" applyNumberFormat="1" applyFont="1" applyBorder="1" applyAlignment="1">
      <alignment horizontal="center" vertical="center"/>
    </xf>
    <xf numFmtId="182" fontId="32" fillId="0" borderId="1" xfId="0" applyNumberFormat="1" applyFont="1" applyBorder="1" applyAlignment="1">
      <alignment horizontal="center" vertical="center"/>
    </xf>
    <xf numFmtId="180" fontId="32" fillId="0" borderId="1" xfId="0" applyNumberFormat="1" applyFont="1" applyBorder="1" applyAlignment="1">
      <alignment horizontal="center" vertical="center"/>
    </xf>
    <xf numFmtId="177" fontId="0" fillId="0" borderId="1" xfId="0" applyNumberFormat="1" applyFont="1" applyBorder="1" applyAlignment="1">
      <alignment horizontal="center" vertical="center"/>
    </xf>
    <xf numFmtId="182" fontId="0" fillId="0" borderId="1" xfId="0" applyNumberFormat="1" applyFont="1" applyBorder="1" applyAlignment="1">
      <alignment horizontal="center" vertical="center"/>
    </xf>
    <xf numFmtId="180" fontId="0" fillId="0" borderId="1" xfId="0" applyNumberFormat="1" applyFont="1" applyBorder="1" applyAlignment="1">
      <alignment horizontal="center" vertical="center"/>
    </xf>
    <xf numFmtId="0" fontId="71" fillId="0" borderId="1" xfId="0" applyFont="1" applyFill="1" applyBorder="1" applyAlignment="1">
      <alignment vertical="center"/>
    </xf>
    <xf numFmtId="182" fontId="69" fillId="0" borderId="1" xfId="0" applyNumberFormat="1" applyFont="1" applyFill="1" applyBorder="1" applyAlignment="1">
      <alignment horizontal="left" vertical="center"/>
    </xf>
    <xf numFmtId="180" fontId="69" fillId="0" borderId="1" xfId="0" applyNumberFormat="1" applyFont="1" applyFill="1" applyBorder="1" applyAlignment="1">
      <alignment horizontal="center" vertical="center"/>
    </xf>
    <xf numFmtId="180" fontId="0" fillId="0" borderId="0" xfId="0" applyNumberFormat="1" applyFont="1" applyBorder="1" applyAlignment="1">
      <alignment horizontal="center" vertical="center"/>
    </xf>
    <xf numFmtId="182" fontId="0" fillId="0" borderId="0" xfId="0" applyNumberFormat="1" applyFont="1" applyBorder="1" applyAlignment="1">
      <alignment horizontal="center" vertical="center"/>
    </xf>
    <xf numFmtId="0" fontId="0" fillId="0" borderId="0" xfId="0" applyFont="1" applyBorder="1" applyAlignment="1">
      <alignment horizontal="center" vertical="center"/>
    </xf>
    <xf numFmtId="0" fontId="22" fillId="0" borderId="0" xfId="0" applyFont="1">
      <alignment vertical="center"/>
    </xf>
    <xf numFmtId="183" fontId="73" fillId="0" borderId="0" xfId="66" applyNumberFormat="1" applyFont="1" applyFill="1" applyAlignment="1">
      <alignment horizontal="center" vertical="center"/>
    </xf>
    <xf numFmtId="183" fontId="0" fillId="0" borderId="0" xfId="66" applyNumberFormat="1" applyFont="1" applyFill="1" applyBorder="1" applyAlignment="1">
      <alignment horizontal="center" vertical="center"/>
    </xf>
    <xf numFmtId="183" fontId="20" fillId="0" borderId="0" xfId="66" applyNumberFormat="1" applyFont="1" applyFill="1" applyAlignment="1">
      <alignment horizontal="right" vertical="center"/>
    </xf>
    <xf numFmtId="176" fontId="74" fillId="0" borderId="1" xfId="0" applyNumberFormat="1" applyFont="1" applyFill="1" applyBorder="1" applyAlignment="1">
      <alignment horizontal="center" vertical="center" wrapText="1"/>
    </xf>
    <xf numFmtId="179" fontId="74" fillId="0" borderId="1" xfId="0" applyNumberFormat="1" applyFont="1" applyFill="1" applyBorder="1" applyAlignment="1">
      <alignment horizontal="center" vertical="center" wrapText="1"/>
    </xf>
    <xf numFmtId="177" fontId="74" fillId="0" borderId="1" xfId="0" applyNumberFormat="1" applyFont="1" applyFill="1" applyBorder="1" applyAlignment="1">
      <alignment horizontal="center" vertical="center" wrapText="1"/>
    </xf>
    <xf numFmtId="176" fontId="32" fillId="0" borderId="1" xfId="0" applyNumberFormat="1" applyFont="1" applyFill="1" applyBorder="1" applyAlignment="1">
      <alignment horizontal="center" vertical="center" wrapText="1"/>
    </xf>
    <xf numFmtId="179" fontId="32" fillId="0" borderId="1" xfId="0" applyNumberFormat="1" applyFont="1" applyFill="1" applyBorder="1" applyAlignment="1">
      <alignment horizontal="center" vertical="center" wrapText="1"/>
    </xf>
    <xf numFmtId="177" fontId="32" fillId="0" borderId="1" xfId="0" applyNumberFormat="1" applyFont="1" applyFill="1" applyBorder="1" applyAlignment="1">
      <alignment horizontal="center" vertical="center" wrapText="1"/>
    </xf>
    <xf numFmtId="180" fontId="32" fillId="0" borderId="1" xfId="0" applyNumberFormat="1" applyFont="1" applyFill="1" applyBorder="1" applyAlignment="1">
      <alignment horizontal="center" vertical="center" wrapText="1"/>
    </xf>
    <xf numFmtId="177" fontId="32" fillId="0" borderId="10" xfId="0" applyNumberFormat="1" applyFont="1" applyFill="1" applyBorder="1" applyAlignment="1">
      <alignment horizontal="center" vertical="center" wrapText="1"/>
    </xf>
    <xf numFmtId="176" fontId="0" fillId="0" borderId="10" xfId="0" applyNumberFormat="1" applyFont="1" applyFill="1" applyBorder="1" applyAlignment="1">
      <alignment horizontal="center" vertical="center" wrapText="1"/>
    </xf>
    <xf numFmtId="176" fontId="0" fillId="0" borderId="12" xfId="0" applyNumberFormat="1" applyFont="1" applyFill="1" applyBorder="1" applyAlignment="1">
      <alignment horizontal="center" vertical="center" wrapText="1"/>
    </xf>
    <xf numFmtId="0" fontId="32" fillId="0" borderId="1" xfId="0" applyFont="1" applyFill="1" applyBorder="1" applyAlignment="1">
      <alignment vertical="center"/>
    </xf>
    <xf numFmtId="4" fontId="0" fillId="0" borderId="1" xfId="0" applyNumberFormat="1" applyFont="1" applyFill="1" applyBorder="1" applyAlignment="1">
      <alignment horizontal="left" vertical="center" wrapText="1"/>
    </xf>
    <xf numFmtId="177" fontId="0" fillId="0" borderId="1" xfId="0" applyNumberFormat="1" applyFont="1" applyFill="1" applyBorder="1" applyAlignment="1">
      <alignment horizontal="center" vertical="center" wrapText="1"/>
    </xf>
    <xf numFmtId="179" fontId="0"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4" fontId="58" fillId="0" borderId="0" xfId="0" applyNumberFormat="1" applyFont="1" applyFill="1" applyAlignment="1">
      <alignment horizontal="left" vertical="center" wrapText="1"/>
    </xf>
    <xf numFmtId="0" fontId="74" fillId="0" borderId="1" xfId="0" applyFont="1" applyBorder="1" applyAlignment="1">
      <alignment horizontal="center" vertical="center" wrapText="1"/>
    </xf>
    <xf numFmtId="0" fontId="75" fillId="0" borderId="0" xfId="0" applyFont="1" applyAlignment="1">
      <alignment horizontal="center" vertical="center" wrapText="1"/>
    </xf>
    <xf numFmtId="179" fontId="74" fillId="0" borderId="2" xfId="0" applyNumberFormat="1" applyFont="1" applyFill="1" applyBorder="1" applyAlignment="1">
      <alignment horizontal="center" vertical="center" wrapText="1"/>
    </xf>
    <xf numFmtId="0" fontId="0" fillId="0" borderId="1" xfId="0" applyBorder="1" applyAlignment="1">
      <alignment horizontal="center" vertical="center"/>
    </xf>
    <xf numFmtId="180" fontId="0" fillId="0" borderId="1" xfId="0" applyNumberFormat="1" applyBorder="1" applyAlignment="1">
      <alignment horizontal="center" vertical="center"/>
    </xf>
    <xf numFmtId="180" fontId="0" fillId="0" borderId="1" xfId="0" applyNumberFormat="1" applyFont="1" applyFill="1" applyBorder="1" applyAlignment="1">
      <alignment horizontal="center" vertical="center" wrapText="1"/>
    </xf>
    <xf numFmtId="180" fontId="0" fillId="0" borderId="6" xfId="0" applyNumberFormat="1" applyFont="1" applyBorder="1" applyAlignment="1">
      <alignment horizontal="center" vertical="center"/>
    </xf>
    <xf numFmtId="0" fontId="39" fillId="0" borderId="0" xfId="0" applyFont="1" applyFill="1" applyAlignment="1">
      <alignment vertical="center"/>
    </xf>
    <xf numFmtId="0" fontId="0" fillId="0" borderId="0" xfId="0" applyFill="1">
      <alignment vertical="center"/>
    </xf>
    <xf numFmtId="0" fontId="60" fillId="0" borderId="0" xfId="0" applyFont="1" applyFill="1" applyAlignment="1">
      <alignment horizontal="left" vertical="center"/>
    </xf>
    <xf numFmtId="180" fontId="76" fillId="0" borderId="0" xfId="0" applyNumberFormat="1" applyFont="1" applyFill="1" applyAlignment="1">
      <alignment horizontal="center"/>
    </xf>
    <xf numFmtId="177" fontId="76" fillId="0" borderId="0" xfId="0" applyNumberFormat="1" applyFont="1" applyFill="1" applyAlignment="1">
      <alignment horizontal="center"/>
    </xf>
    <xf numFmtId="0" fontId="77" fillId="0" borderId="0" xfId="0" applyFont="1" applyFill="1" applyAlignment="1">
      <alignment horizontal="center" vertical="center" wrapText="1"/>
    </xf>
    <xf numFmtId="0" fontId="76" fillId="0" borderId="0" xfId="0" applyFont="1" applyFill="1" applyAlignment="1">
      <alignment horizontal="center"/>
    </xf>
    <xf numFmtId="180" fontId="78" fillId="0" borderId="15" xfId="0" applyNumberFormat="1" applyFont="1" applyFill="1" applyBorder="1" applyAlignment="1">
      <alignment horizontal="center" vertical="center" wrapText="1"/>
    </xf>
    <xf numFmtId="180" fontId="76" fillId="0" borderId="15" xfId="0" applyNumberFormat="1" applyFont="1" applyFill="1" applyBorder="1" applyAlignment="1">
      <alignment horizontal="center" vertical="center" wrapText="1"/>
    </xf>
    <xf numFmtId="177" fontId="76" fillId="0" borderId="15" xfId="0" applyNumberFormat="1" applyFont="1" applyFill="1" applyBorder="1" applyAlignment="1">
      <alignment horizontal="center" vertical="center" wrapText="1"/>
    </xf>
    <xf numFmtId="0" fontId="79" fillId="0" borderId="1" xfId="0" applyFont="1" applyFill="1" applyBorder="1" applyAlignment="1">
      <alignment horizontal="center" vertical="center"/>
    </xf>
    <xf numFmtId="180" fontId="79" fillId="0" borderId="1" xfId="0" applyNumberFormat="1" applyFont="1" applyFill="1" applyBorder="1" applyAlignment="1">
      <alignment horizontal="center" vertical="center"/>
    </xf>
    <xf numFmtId="177" fontId="79" fillId="0" borderId="1" xfId="0" applyNumberFormat="1" applyFont="1" applyFill="1" applyBorder="1" applyAlignment="1">
      <alignment horizontal="center" vertical="center" wrapText="1"/>
    </xf>
    <xf numFmtId="180" fontId="79" fillId="0" borderId="1" xfId="0" applyNumberFormat="1" applyFont="1" applyFill="1" applyBorder="1" applyAlignment="1">
      <alignment horizontal="center" vertical="center" wrapText="1"/>
    </xf>
    <xf numFmtId="177" fontId="79" fillId="0" borderId="10" xfId="0" applyNumberFormat="1" applyFont="1" applyFill="1" applyBorder="1" applyAlignment="1">
      <alignment horizontal="center" vertical="center" wrapText="1"/>
    </xf>
    <xf numFmtId="177" fontId="79" fillId="0" borderId="12" xfId="0" applyNumberFormat="1" applyFont="1" applyFill="1" applyBorder="1" applyAlignment="1">
      <alignment horizontal="center" vertical="center" wrapText="1"/>
    </xf>
    <xf numFmtId="177" fontId="79" fillId="0" borderId="2" xfId="0" applyNumberFormat="1" applyFont="1" applyFill="1" applyBorder="1" applyAlignment="1">
      <alignment horizontal="center" vertical="center" wrapText="1"/>
    </xf>
    <xf numFmtId="180" fontId="79" fillId="0" borderId="2" xfId="0" applyNumberFormat="1" applyFont="1" applyFill="1" applyBorder="1" applyAlignment="1">
      <alignment horizontal="center" vertical="center" wrapText="1"/>
    </xf>
    <xf numFmtId="177" fontId="79" fillId="0" borderId="6" xfId="0" applyNumberFormat="1" applyFont="1" applyFill="1" applyBorder="1" applyAlignment="1">
      <alignment horizontal="center" vertical="center" wrapText="1"/>
    </xf>
    <xf numFmtId="180" fontId="79" fillId="0" borderId="6" xfId="0" applyNumberFormat="1" applyFont="1" applyFill="1" applyBorder="1" applyAlignment="1">
      <alignment horizontal="center" vertical="center" wrapText="1"/>
    </xf>
    <xf numFmtId="0" fontId="76" fillId="0" borderId="1" xfId="0" applyFont="1" applyFill="1" applyBorder="1" applyAlignment="1">
      <alignment horizontal="center" vertical="center"/>
    </xf>
    <xf numFmtId="180" fontId="80" fillId="0" borderId="1" xfId="0" applyNumberFormat="1" applyFont="1" applyFill="1" applyBorder="1" applyAlignment="1">
      <alignment horizontal="center" vertical="center"/>
    </xf>
    <xf numFmtId="177" fontId="76" fillId="0" borderId="1" xfId="0" applyNumberFormat="1" applyFont="1" applyFill="1" applyBorder="1" applyAlignment="1">
      <alignment horizontal="center" vertical="center"/>
    </xf>
    <xf numFmtId="180" fontId="76" fillId="0" borderId="1" xfId="0" applyNumberFormat="1" applyFont="1" applyFill="1" applyBorder="1" applyAlignment="1">
      <alignment horizontal="center" vertical="center"/>
    </xf>
    <xf numFmtId="0" fontId="76" fillId="0" borderId="1" xfId="0" applyFont="1" applyFill="1" applyBorder="1" applyAlignment="1">
      <alignment horizontal="center" vertical="center" wrapText="1"/>
    </xf>
    <xf numFmtId="0" fontId="80" fillId="0" borderId="1" xfId="0" applyFont="1" applyFill="1" applyBorder="1" applyAlignment="1">
      <alignment horizontal="center" vertical="center" wrapText="1"/>
    </xf>
    <xf numFmtId="0" fontId="40" fillId="0" borderId="0" xfId="0" applyNumberFormat="1" applyFont="1" applyFill="1" applyAlignment="1">
      <alignment horizontal="left" vertical="center" wrapText="1"/>
    </xf>
    <xf numFmtId="180" fontId="77" fillId="0" borderId="0" xfId="0" applyNumberFormat="1" applyFont="1" applyFill="1" applyAlignment="1">
      <alignment horizontal="center" vertical="center" wrapText="1"/>
    </xf>
    <xf numFmtId="0" fontId="76" fillId="0" borderId="15" xfId="0" applyFont="1" applyFill="1" applyBorder="1" applyAlignment="1">
      <alignment horizontal="center" vertical="center" wrapText="1"/>
    </xf>
    <xf numFmtId="180" fontId="76" fillId="0" borderId="0" xfId="0" applyNumberFormat="1" applyFont="1" applyFill="1" applyBorder="1" applyAlignment="1">
      <alignment horizontal="center" vertical="center" wrapText="1"/>
    </xf>
    <xf numFmtId="0" fontId="76" fillId="0" borderId="0" xfId="0" applyFont="1" applyFill="1" applyBorder="1" applyAlignment="1">
      <alignment horizontal="center" vertical="center" wrapText="1"/>
    </xf>
    <xf numFmtId="0" fontId="79" fillId="0" borderId="10" xfId="0" applyFont="1" applyFill="1" applyBorder="1" applyAlignment="1">
      <alignment horizontal="center" vertical="center" wrapText="1"/>
    </xf>
    <xf numFmtId="0" fontId="79" fillId="0" borderId="11" xfId="0" applyFont="1" applyFill="1" applyBorder="1" applyAlignment="1">
      <alignment horizontal="center" vertical="center" wrapText="1"/>
    </xf>
    <xf numFmtId="0" fontId="79" fillId="0" borderId="12" xfId="0" applyFont="1" applyFill="1" applyBorder="1" applyAlignment="1">
      <alignment horizontal="center" vertical="center" wrapText="1"/>
    </xf>
    <xf numFmtId="0" fontId="79" fillId="0" borderId="2" xfId="0" applyFont="1" applyFill="1" applyBorder="1" applyAlignment="1">
      <alignment horizontal="center" vertical="center" wrapText="1"/>
    </xf>
    <xf numFmtId="0" fontId="79" fillId="0" borderId="6" xfId="0" applyFont="1" applyFill="1" applyBorder="1" applyAlignment="1">
      <alignment horizontal="center" vertical="center" wrapText="1"/>
    </xf>
    <xf numFmtId="0" fontId="76" fillId="0" borderId="0" xfId="0" applyFont="1" applyFill="1" applyAlignment="1"/>
    <xf numFmtId="0" fontId="81" fillId="0" borderId="0" xfId="0" applyFont="1" applyFill="1" applyAlignment="1">
      <alignment horizontal="right" vertical="center"/>
    </xf>
    <xf numFmtId="0" fontId="79" fillId="0" borderId="1" xfId="0" applyFont="1" applyFill="1" applyBorder="1" applyAlignment="1">
      <alignment horizontal="center" vertical="center" wrapText="1"/>
    </xf>
    <xf numFmtId="0" fontId="32" fillId="0" borderId="0" xfId="0" applyNumberFormat="1" applyFont="1" applyFill="1" applyBorder="1" applyAlignment="1">
      <alignment wrapText="1"/>
    </xf>
    <xf numFmtId="0" fontId="40" fillId="0" borderId="0" xfId="0" applyNumberFormat="1" applyFont="1" applyFill="1" applyBorder="1" applyAlignment="1">
      <alignment horizontal="center" wrapText="1"/>
    </xf>
    <xf numFmtId="0" fontId="0" fillId="0" borderId="0" xfId="0" applyNumberFormat="1" applyFont="1" applyFill="1" applyBorder="1" applyAlignment="1">
      <alignment horizontal="center"/>
    </xf>
    <xf numFmtId="0" fontId="0" fillId="0" borderId="0" xfId="0" applyNumberFormat="1" applyFont="1" applyFill="1" applyBorder="1" applyAlignment="1"/>
    <xf numFmtId="0" fontId="0" fillId="0" borderId="0" xfId="0" applyFill="1" applyAlignment="1"/>
    <xf numFmtId="0" fontId="0" fillId="0" borderId="0" xfId="0" applyFill="1" applyAlignment="1">
      <alignment horizontal="center"/>
    </xf>
    <xf numFmtId="0" fontId="22" fillId="0" borderId="0" xfId="0" applyFont="1" applyFill="1" applyAlignment="1">
      <alignment horizontal="left" vertical="center"/>
    </xf>
    <xf numFmtId="0" fontId="73" fillId="0" borderId="0" xfId="0" applyNumberFormat="1" applyFont="1" applyFill="1" applyBorder="1" applyAlignment="1">
      <alignment horizontal="center" vertical="center" wrapText="1"/>
    </xf>
    <xf numFmtId="0" fontId="74" fillId="0" borderId="1" xfId="0" applyNumberFormat="1" applyFont="1" applyFill="1" applyBorder="1" applyAlignment="1">
      <alignment horizontal="center" vertical="center" wrapText="1"/>
    </xf>
    <xf numFmtId="0" fontId="32"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82" fillId="0" borderId="0" xfId="0" applyNumberFormat="1" applyFont="1" applyFill="1" applyBorder="1" applyAlignment="1">
      <alignment horizontal="left" vertical="center" wrapText="1"/>
    </xf>
    <xf numFmtId="0" fontId="58" fillId="0" borderId="0" xfId="0" applyNumberFormat="1" applyFont="1" applyFill="1" applyBorder="1" applyAlignment="1">
      <alignment horizontal="left" vertical="center" wrapText="1"/>
    </xf>
    <xf numFmtId="0" fontId="83" fillId="0" borderId="0" xfId="0" applyNumberFormat="1" applyFont="1" applyFill="1" applyAlignment="1"/>
    <xf numFmtId="0" fontId="73" fillId="0" borderId="0" xfId="0" applyNumberFormat="1" applyFont="1" applyFill="1" applyAlignment="1"/>
    <xf numFmtId="0" fontId="84" fillId="0" borderId="0" xfId="0" applyNumberFormat="1" applyFont="1" applyFill="1" applyBorder="1" applyAlignment="1"/>
    <xf numFmtId="0" fontId="85" fillId="0" borderId="0" xfId="0" applyNumberFormat="1" applyFont="1" applyFill="1" applyBorder="1" applyAlignment="1">
      <alignment horizontal="left"/>
    </xf>
    <xf numFmtId="0" fontId="86" fillId="0" borderId="0" xfId="0" applyNumberFormat="1" applyFont="1" applyFill="1" applyAlignment="1">
      <alignment horizontal="center"/>
    </xf>
    <xf numFmtId="0" fontId="87" fillId="0" borderId="0" xfId="0" applyNumberFormat="1" applyFont="1" applyFill="1" applyAlignment="1"/>
    <xf numFmtId="177" fontId="87" fillId="0" borderId="0" xfId="0" applyNumberFormat="1" applyFont="1" applyFill="1" applyAlignment="1"/>
    <xf numFmtId="177" fontId="87" fillId="0" borderId="0" xfId="0" applyNumberFormat="1" applyFont="1" applyFill="1" applyAlignment="1">
      <alignment horizontal="center"/>
    </xf>
    <xf numFmtId="0" fontId="50" fillId="0" borderId="0" xfId="0" applyNumberFormat="1" applyFont="1" applyFill="1" applyAlignment="1">
      <alignment horizontal="left" vertical="center"/>
    </xf>
    <xf numFmtId="0" fontId="88" fillId="0" borderId="0" xfId="65" applyNumberFormat="1" applyFont="1" applyFill="1" applyAlignment="1">
      <alignment horizontal="center" vertical="center"/>
    </xf>
    <xf numFmtId="0" fontId="73" fillId="0" borderId="0" xfId="65" applyNumberFormat="1" applyFont="1" applyFill="1" applyAlignment="1">
      <alignment horizontal="center" vertical="center"/>
    </xf>
    <xf numFmtId="0" fontId="89" fillId="0" borderId="2" xfId="0" applyNumberFormat="1" applyFont="1" applyFill="1" applyBorder="1" applyAlignment="1">
      <alignment horizontal="center" vertical="center" wrapText="1"/>
    </xf>
    <xf numFmtId="0" fontId="89" fillId="0" borderId="10" xfId="65" applyNumberFormat="1" applyFont="1" applyFill="1" applyBorder="1" applyAlignment="1">
      <alignment horizontal="center" vertical="center"/>
    </xf>
    <xf numFmtId="0" fontId="89" fillId="0" borderId="11" xfId="65" applyNumberFormat="1" applyFont="1" applyFill="1" applyBorder="1" applyAlignment="1">
      <alignment horizontal="center" vertical="center"/>
    </xf>
    <xf numFmtId="0" fontId="89" fillId="0" borderId="4" xfId="0" applyNumberFormat="1" applyFont="1" applyFill="1" applyBorder="1" applyAlignment="1">
      <alignment horizontal="center" vertical="center" wrapText="1"/>
    </xf>
    <xf numFmtId="0" fontId="90" fillId="0" borderId="12" xfId="0" applyNumberFormat="1" applyFont="1" applyFill="1" applyBorder="1" applyAlignment="1">
      <alignment horizontal="center" vertical="center" wrapText="1"/>
    </xf>
    <xf numFmtId="0" fontId="90" fillId="0" borderId="1" xfId="0" applyNumberFormat="1" applyFont="1" applyFill="1" applyBorder="1" applyAlignment="1">
      <alignment horizontal="center" vertical="center" wrapText="1"/>
    </xf>
    <xf numFmtId="0" fontId="89" fillId="0" borderId="1" xfId="0" applyNumberFormat="1" applyFont="1" applyFill="1" applyBorder="1" applyAlignment="1">
      <alignment horizontal="center" vertical="center" wrapText="1"/>
    </xf>
    <xf numFmtId="0" fontId="91" fillId="0" borderId="1" xfId="0" applyNumberFormat="1" applyFont="1" applyFill="1" applyBorder="1" applyAlignment="1">
      <alignment horizontal="center" vertical="center" wrapText="1"/>
    </xf>
    <xf numFmtId="0" fontId="92" fillId="0" borderId="6" xfId="0" applyNumberFormat="1" applyFont="1" applyFill="1" applyBorder="1" applyAlignment="1">
      <alignment horizontal="left" vertical="center" wrapText="1"/>
    </xf>
    <xf numFmtId="0" fontId="93" fillId="0" borderId="12" xfId="0" applyNumberFormat="1" applyFont="1" applyFill="1" applyBorder="1" applyAlignment="1">
      <alignment horizontal="left" vertical="center" wrapText="1"/>
    </xf>
    <xf numFmtId="0" fontId="93" fillId="0" borderId="1" xfId="0" applyNumberFormat="1" applyFont="1" applyFill="1" applyBorder="1" applyAlignment="1">
      <alignment horizontal="center" vertical="center" wrapText="1"/>
    </xf>
    <xf numFmtId="0" fontId="93" fillId="0" borderId="1" xfId="0" applyNumberFormat="1" applyFont="1" applyFill="1" applyBorder="1" applyAlignment="1">
      <alignment horizontal="left" vertical="center" wrapText="1"/>
    </xf>
    <xf numFmtId="180" fontId="94" fillId="0" borderId="1" xfId="0" applyNumberFormat="1" applyFont="1" applyFill="1" applyBorder="1" applyAlignment="1">
      <alignment horizontal="left" vertical="center" wrapText="1"/>
    </xf>
    <xf numFmtId="0" fontId="89" fillId="0" borderId="6" xfId="0" applyNumberFormat="1" applyFont="1" applyFill="1" applyBorder="1" applyAlignment="1">
      <alignment horizontal="center" vertical="center" wrapText="1"/>
    </xf>
    <xf numFmtId="0" fontId="95" fillId="0" borderId="1" xfId="12" applyNumberFormat="1" applyFont="1" applyFill="1" applyBorder="1" applyAlignment="1">
      <alignment horizontal="center" vertical="center"/>
    </xf>
    <xf numFmtId="0" fontId="96" fillId="0" borderId="1" xfId="0" applyFont="1" applyFill="1" applyBorder="1" applyAlignment="1">
      <alignment horizontal="center" vertical="center" wrapText="1"/>
    </xf>
    <xf numFmtId="0" fontId="97" fillId="0" borderId="1" xfId="0" applyNumberFormat="1" applyFont="1" applyFill="1" applyBorder="1" applyAlignment="1">
      <alignment horizontal="center" vertical="center"/>
    </xf>
    <xf numFmtId="0" fontId="97" fillId="0" borderId="1" xfId="0" applyNumberFormat="1" applyFont="1" applyFill="1" applyBorder="1" applyAlignment="1" applyProtection="1">
      <alignment horizontal="center" vertical="center" wrapText="1"/>
    </xf>
    <xf numFmtId="0" fontId="97" fillId="0" borderId="1" xfId="0" applyNumberFormat="1" applyFont="1" applyFill="1" applyBorder="1" applyAlignment="1">
      <alignment horizontal="center" vertical="center" wrapText="1"/>
    </xf>
    <xf numFmtId="0" fontId="98" fillId="0" borderId="0" xfId="0" applyNumberFormat="1" applyFont="1" applyFill="1" applyAlignment="1">
      <alignment horizontal="left" wrapText="1"/>
    </xf>
    <xf numFmtId="0" fontId="89" fillId="0" borderId="12" xfId="65" applyNumberFormat="1" applyFont="1" applyFill="1" applyBorder="1" applyAlignment="1">
      <alignment horizontal="center" vertical="center"/>
    </xf>
    <xf numFmtId="0" fontId="89" fillId="0" borderId="1" xfId="3" applyFont="1" applyFill="1" applyBorder="1" applyAlignment="1">
      <alignment horizontal="center" vertical="center"/>
    </xf>
    <xf numFmtId="177" fontId="89" fillId="0" borderId="1" xfId="3" applyNumberFormat="1" applyFont="1" applyFill="1" applyBorder="1" applyAlignment="1">
      <alignment horizontal="center" vertical="center"/>
    </xf>
    <xf numFmtId="177" fontId="89" fillId="0" borderId="1" xfId="0" applyNumberFormat="1" applyFont="1" applyFill="1" applyBorder="1" applyAlignment="1">
      <alignment horizontal="center" vertical="center" wrapText="1"/>
    </xf>
    <xf numFmtId="0" fontId="99" fillId="0" borderId="1" xfId="0" applyNumberFormat="1" applyFont="1" applyFill="1" applyBorder="1" applyAlignment="1">
      <alignment horizontal="left" vertical="center" wrapText="1"/>
    </xf>
    <xf numFmtId="177" fontId="100" fillId="0" borderId="1" xfId="0" applyNumberFormat="1" applyFont="1" applyFill="1" applyBorder="1" applyAlignment="1">
      <alignment horizontal="left" vertical="center" wrapText="1"/>
    </xf>
    <xf numFmtId="0" fontId="94" fillId="0" borderId="1" xfId="0" applyNumberFormat="1" applyFont="1" applyFill="1" applyBorder="1" applyAlignment="1">
      <alignment horizontal="left" vertical="center" wrapText="1"/>
    </xf>
    <xf numFmtId="0" fontId="92" fillId="0" borderId="1" xfId="0" applyNumberFormat="1" applyFont="1" applyFill="1" applyBorder="1" applyAlignment="1">
      <alignment horizontal="center" vertical="center" wrapText="1"/>
    </xf>
    <xf numFmtId="180" fontId="90" fillId="0" borderId="12" xfId="0" applyNumberFormat="1" applyFont="1" applyFill="1" applyBorder="1" applyAlignment="1">
      <alignment horizontal="center" vertical="center" wrapText="1"/>
    </xf>
    <xf numFmtId="180" fontId="97" fillId="0" borderId="1" xfId="0" applyNumberFormat="1" applyFont="1" applyFill="1" applyBorder="1" applyAlignment="1">
      <alignment horizontal="center" vertical="center" wrapText="1"/>
    </xf>
    <xf numFmtId="180" fontId="84" fillId="0" borderId="1" xfId="0" applyNumberFormat="1" applyFont="1" applyFill="1" applyBorder="1" applyAlignment="1">
      <alignment horizontal="center" vertical="center" wrapText="1"/>
    </xf>
    <xf numFmtId="177" fontId="88" fillId="0" borderId="0" xfId="65" applyNumberFormat="1" applyFont="1" applyFill="1" applyAlignment="1">
      <alignment horizontal="center" vertical="center"/>
    </xf>
    <xf numFmtId="177" fontId="73" fillId="0" borderId="0" xfId="65" applyNumberFormat="1" applyFont="1" applyFill="1" applyAlignment="1">
      <alignment horizontal="center" vertical="center"/>
    </xf>
    <xf numFmtId="177" fontId="89" fillId="0" borderId="1" xfId="57" applyNumberFormat="1" applyFont="1" applyFill="1" applyBorder="1" applyAlignment="1" applyProtection="1">
      <alignment horizontal="center" vertical="center" wrapText="1"/>
    </xf>
    <xf numFmtId="0" fontId="89" fillId="0" borderId="1" xfId="57" applyFont="1" applyFill="1" applyBorder="1" applyAlignment="1" applyProtection="1">
      <alignment horizontal="center" vertical="center" wrapText="1"/>
    </xf>
    <xf numFmtId="177" fontId="89" fillId="0" borderId="1" xfId="57" applyNumberFormat="1" applyFont="1" applyFill="1" applyBorder="1" applyAlignment="1" applyProtection="1">
      <alignment vertical="center" wrapText="1"/>
    </xf>
    <xf numFmtId="0" fontId="89" fillId="0" borderId="1" xfId="57" applyFont="1" applyFill="1" applyBorder="1" applyAlignment="1" applyProtection="1">
      <alignment vertical="center" wrapText="1"/>
    </xf>
    <xf numFmtId="177" fontId="94" fillId="0" borderId="1" xfId="0" applyNumberFormat="1" applyFont="1" applyFill="1" applyBorder="1" applyAlignment="1">
      <alignment horizontal="left" vertical="center" wrapText="1"/>
    </xf>
    <xf numFmtId="0" fontId="100" fillId="0" borderId="1" xfId="0" applyNumberFormat="1" applyFont="1" applyFill="1" applyBorder="1" applyAlignment="1">
      <alignment horizontal="left" vertical="center" wrapText="1"/>
    </xf>
    <xf numFmtId="0" fontId="101" fillId="0" borderId="1" xfId="0" applyNumberFormat="1" applyFont="1" applyFill="1" applyBorder="1" applyAlignment="1">
      <alignment horizontal="left" vertical="center" wrapText="1"/>
    </xf>
    <xf numFmtId="180" fontId="97" fillId="0" borderId="1" xfId="0" applyNumberFormat="1" applyFont="1" applyFill="1" applyBorder="1" applyAlignment="1">
      <alignment horizontal="center" vertical="center"/>
    </xf>
    <xf numFmtId="177" fontId="102" fillId="0" borderId="0" xfId="65" applyNumberFormat="1" applyFont="1" applyFill="1" applyAlignment="1">
      <alignment horizontal="center" vertical="center"/>
    </xf>
    <xf numFmtId="177" fontId="89" fillId="0" borderId="2" xfId="57" applyNumberFormat="1" applyFont="1" applyFill="1" applyBorder="1" applyAlignment="1" applyProtection="1">
      <alignment horizontal="center" vertical="center" wrapText="1"/>
    </xf>
    <xf numFmtId="0" fontId="97" fillId="0" borderId="0" xfId="0" applyNumberFormat="1" applyFont="1" applyFill="1" applyBorder="1" applyAlignment="1"/>
    <xf numFmtId="177" fontId="89" fillId="0" borderId="4" xfId="57" applyNumberFormat="1" applyFont="1" applyFill="1" applyBorder="1" applyAlignment="1" applyProtection="1">
      <alignment horizontal="center" vertical="center" wrapText="1"/>
    </xf>
    <xf numFmtId="177" fontId="94" fillId="0" borderId="6" xfId="0" applyNumberFormat="1" applyFont="1" applyFill="1" applyBorder="1" applyAlignment="1">
      <alignment horizontal="left" vertical="center" wrapText="1"/>
    </xf>
    <xf numFmtId="177" fontId="89" fillId="0" borderId="6" xfId="57" applyNumberFormat="1" applyFont="1" applyFill="1" applyBorder="1" applyAlignment="1" applyProtection="1">
      <alignment horizontal="center" vertical="center" wrapText="1"/>
    </xf>
    <xf numFmtId="0" fontId="93" fillId="0" borderId="0" xfId="0" applyNumberFormat="1" applyFont="1" applyFill="1" applyBorder="1" applyAlignment="1">
      <alignment horizontal="left"/>
    </xf>
    <xf numFmtId="0" fontId="90" fillId="0" borderId="0" xfId="0" applyNumberFormat="1" applyFont="1" applyFill="1" applyAlignment="1">
      <alignment horizontal="center"/>
    </xf>
    <xf numFmtId="0" fontId="103" fillId="0" borderId="0" xfId="0" applyNumberFormat="1" applyFont="1" applyFill="1" applyBorder="1" applyAlignment="1">
      <alignment horizontal="right" vertical="center"/>
    </xf>
    <xf numFmtId="0" fontId="75" fillId="0" borderId="0" xfId="0" applyFont="1" applyAlignment="1">
      <alignment vertical="center" wrapText="1"/>
    </xf>
    <xf numFmtId="0" fontId="104" fillId="0" borderId="1" xfId="0" applyNumberFormat="1" applyFont="1" applyFill="1" applyBorder="1" applyAlignment="1">
      <alignment horizontal="center" vertical="center" wrapText="1"/>
    </xf>
    <xf numFmtId="0" fontId="0" fillId="0" borderId="0" xfId="0" applyFill="1" applyBorder="1" applyAlignment="1"/>
    <xf numFmtId="0" fontId="66" fillId="0" borderId="0" xfId="0" applyNumberFormat="1" applyFont="1" applyFill="1" applyBorder="1" applyAlignment="1">
      <alignment horizontal="center" vertical="center"/>
    </xf>
    <xf numFmtId="0" fontId="105" fillId="0" borderId="1" xfId="0" applyFont="1" applyFill="1" applyBorder="1" applyAlignment="1">
      <alignment horizontal="center" vertical="center" wrapText="1"/>
    </xf>
    <xf numFmtId="43" fontId="105" fillId="0" borderId="1" xfId="0" applyNumberFormat="1" applyFont="1" applyFill="1" applyBorder="1" applyAlignment="1">
      <alignment horizontal="center" vertical="center" wrapText="1"/>
    </xf>
    <xf numFmtId="0" fontId="58" fillId="0" borderId="7" xfId="0" applyNumberFormat="1" applyFont="1" applyFill="1" applyBorder="1" applyAlignment="1">
      <alignment horizontal="left" vertical="center" wrapText="1"/>
    </xf>
    <xf numFmtId="0" fontId="58" fillId="0" borderId="0" xfId="0" applyNumberFormat="1" applyFont="1" applyFill="1" applyAlignment="1">
      <alignment horizontal="left" vertical="center" wrapText="1"/>
    </xf>
    <xf numFmtId="0" fontId="32" fillId="0" borderId="0" xfId="0" applyNumberFormat="1" applyFont="1" applyFill="1" applyBorder="1" applyAlignment="1">
      <alignment horizontal="center" vertical="center"/>
    </xf>
    <xf numFmtId="43" fontId="105" fillId="0" borderId="1" xfId="0" applyNumberFormat="1" applyFont="1" applyFill="1" applyBorder="1" applyAlignment="1">
      <alignment horizontal="left" vertical="center" wrapText="1"/>
    </xf>
    <xf numFmtId="0" fontId="83" fillId="0" borderId="0" xfId="0" applyNumberFormat="1" applyFont="1" applyFill="1" applyBorder="1" applyAlignment="1"/>
    <xf numFmtId="0" fontId="73" fillId="0" borderId="0" xfId="0" applyNumberFormat="1" applyFont="1" applyFill="1" applyBorder="1" applyAlignment="1"/>
    <xf numFmtId="0" fontId="106" fillId="0" borderId="0" xfId="0" applyNumberFormat="1" applyFont="1" applyFill="1" applyBorder="1" applyAlignment="1">
      <alignment horizontal="left"/>
    </xf>
    <xf numFmtId="0" fontId="86" fillId="0" borderId="0" xfId="0" applyNumberFormat="1" applyFont="1" applyFill="1" applyBorder="1" applyAlignment="1"/>
    <xf numFmtId="0" fontId="87" fillId="0" borderId="0" xfId="0" applyNumberFormat="1" applyFont="1" applyFill="1" applyBorder="1" applyAlignment="1"/>
    <xf numFmtId="177" fontId="87" fillId="0" borderId="0" xfId="0" applyNumberFormat="1" applyFont="1" applyFill="1" applyBorder="1" applyAlignment="1"/>
    <xf numFmtId="177" fontId="87" fillId="0" borderId="0" xfId="0" applyNumberFormat="1" applyFont="1" applyFill="1" applyBorder="1" applyAlignment="1">
      <alignment horizontal="center"/>
    </xf>
    <xf numFmtId="0" fontId="50" fillId="0" borderId="0" xfId="0" applyNumberFormat="1" applyFont="1" applyFill="1" applyBorder="1" applyAlignment="1">
      <alignment horizontal="left" vertical="center"/>
    </xf>
    <xf numFmtId="0" fontId="88" fillId="0" borderId="0" xfId="65" applyNumberFormat="1" applyFont="1" applyFill="1" applyBorder="1" applyAlignment="1">
      <alignment horizontal="center" vertical="center"/>
    </xf>
    <xf numFmtId="0" fontId="73" fillId="0" borderId="0" xfId="65" applyNumberFormat="1" applyFont="1" applyFill="1" applyBorder="1" applyAlignment="1">
      <alignment horizontal="center" vertical="center"/>
    </xf>
    <xf numFmtId="0" fontId="107" fillId="0" borderId="2" xfId="0" applyNumberFormat="1" applyFont="1" applyFill="1" applyBorder="1" applyAlignment="1">
      <alignment horizontal="center" vertical="center" wrapText="1"/>
    </xf>
    <xf numFmtId="0" fontId="107" fillId="0" borderId="10" xfId="65" applyNumberFormat="1" applyFont="1" applyFill="1" applyBorder="1" applyAlignment="1">
      <alignment horizontal="center" vertical="center"/>
    </xf>
    <xf numFmtId="0" fontId="107" fillId="0" borderId="11" xfId="65" applyNumberFormat="1" applyFont="1" applyFill="1" applyBorder="1" applyAlignment="1">
      <alignment horizontal="center" vertical="center"/>
    </xf>
    <xf numFmtId="0" fontId="107" fillId="0" borderId="4" xfId="0" applyNumberFormat="1" applyFont="1" applyFill="1" applyBorder="1" applyAlignment="1">
      <alignment horizontal="center" vertical="center" wrapText="1"/>
    </xf>
    <xf numFmtId="0" fontId="107" fillId="0" borderId="12" xfId="0" applyNumberFormat="1" applyFont="1" applyFill="1" applyBorder="1" applyAlignment="1">
      <alignment horizontal="center" vertical="center" wrapText="1"/>
    </xf>
    <xf numFmtId="0" fontId="107" fillId="0" borderId="1" xfId="0" applyNumberFormat="1" applyFont="1" applyFill="1" applyBorder="1" applyAlignment="1">
      <alignment horizontal="center" vertical="center" wrapText="1"/>
    </xf>
    <xf numFmtId="0" fontId="108" fillId="0" borderId="1" xfId="0" applyNumberFormat="1" applyFont="1" applyFill="1" applyBorder="1" applyAlignment="1">
      <alignment horizontal="center" vertical="center" wrapText="1"/>
    </xf>
    <xf numFmtId="0" fontId="60" fillId="0" borderId="6" xfId="0" applyNumberFormat="1" applyFont="1" applyFill="1" applyBorder="1" applyAlignment="1">
      <alignment horizontal="left" vertical="center" wrapText="1"/>
    </xf>
    <xf numFmtId="0" fontId="60" fillId="0" borderId="12" xfId="0" applyNumberFormat="1" applyFont="1" applyFill="1" applyBorder="1" applyAlignment="1">
      <alignment horizontal="left" vertical="center" wrapText="1"/>
    </xf>
    <xf numFmtId="0" fontId="60" fillId="0" borderId="1" xfId="0" applyNumberFormat="1" applyFont="1" applyFill="1" applyBorder="1" applyAlignment="1">
      <alignment horizontal="center" vertical="center" wrapText="1"/>
    </xf>
    <xf numFmtId="0" fontId="60" fillId="0" borderId="1" xfId="0" applyNumberFormat="1" applyFont="1" applyFill="1" applyBorder="1" applyAlignment="1">
      <alignment horizontal="left" vertical="center" wrapText="1"/>
    </xf>
    <xf numFmtId="180" fontId="60" fillId="0" borderId="1" xfId="0" applyNumberFormat="1" applyFont="1" applyFill="1" applyBorder="1" applyAlignment="1">
      <alignment horizontal="left" vertical="center" wrapText="1"/>
    </xf>
    <xf numFmtId="0" fontId="6" fillId="2" borderId="1" xfId="12" applyNumberFormat="1" applyFont="1" applyFill="1" applyBorder="1" applyAlignment="1">
      <alignment horizontal="center" vertical="center"/>
    </xf>
    <xf numFmtId="0" fontId="109" fillId="2" borderId="1" xfId="0" applyFont="1" applyFill="1" applyBorder="1" applyAlignment="1">
      <alignment horizontal="center" vertical="center" wrapText="1"/>
    </xf>
    <xf numFmtId="0" fontId="109" fillId="2" borderId="1" xfId="0" applyNumberFormat="1" applyFont="1" applyFill="1" applyBorder="1" applyAlignment="1">
      <alignment horizontal="center" vertical="center"/>
    </xf>
    <xf numFmtId="0" fontId="109" fillId="2" borderId="1" xfId="0" applyNumberFormat="1" applyFont="1" applyFill="1" applyBorder="1" applyAlignment="1" applyProtection="1">
      <alignment horizontal="center" vertical="center" wrapText="1"/>
    </xf>
    <xf numFmtId="0" fontId="109" fillId="2" borderId="1" xfId="0" applyNumberFormat="1" applyFont="1" applyFill="1" applyBorder="1" applyAlignment="1">
      <alignment horizontal="center" vertical="center" wrapText="1"/>
    </xf>
    <xf numFmtId="0" fontId="89" fillId="0" borderId="1" xfId="12" applyNumberFormat="1" applyFont="1" applyFill="1" applyBorder="1" applyAlignment="1">
      <alignment horizontal="center" vertical="center"/>
    </xf>
    <xf numFmtId="0" fontId="98" fillId="0" borderId="0" xfId="0" applyNumberFormat="1" applyFont="1" applyFill="1" applyBorder="1" applyAlignment="1">
      <alignment horizontal="left" wrapText="1"/>
    </xf>
    <xf numFmtId="0" fontId="107" fillId="0" borderId="12" xfId="65" applyNumberFormat="1" applyFont="1" applyFill="1" applyBorder="1" applyAlignment="1">
      <alignment horizontal="center" vertical="center"/>
    </xf>
    <xf numFmtId="0" fontId="107" fillId="0" borderId="1" xfId="3" applyFont="1" applyFill="1" applyBorder="1" applyAlignment="1">
      <alignment horizontal="center" vertical="center"/>
    </xf>
    <xf numFmtId="177" fontId="107" fillId="0" borderId="1" xfId="3" applyNumberFormat="1" applyFont="1" applyFill="1" applyBorder="1" applyAlignment="1">
      <alignment horizontal="center" vertical="center"/>
    </xf>
    <xf numFmtId="177" fontId="107" fillId="0" borderId="1" xfId="0" applyNumberFormat="1" applyFont="1" applyFill="1" applyBorder="1" applyAlignment="1">
      <alignment horizontal="center" vertical="center" wrapText="1"/>
    </xf>
    <xf numFmtId="177" fontId="60" fillId="0" borderId="1" xfId="0" applyNumberFormat="1" applyFont="1" applyFill="1" applyBorder="1" applyAlignment="1">
      <alignment horizontal="left" vertical="center" wrapText="1"/>
    </xf>
    <xf numFmtId="180" fontId="109" fillId="3" borderId="1" xfId="0" applyNumberFormat="1" applyFont="1" applyFill="1" applyBorder="1" applyAlignment="1">
      <alignment horizontal="center" vertical="center" wrapText="1"/>
    </xf>
    <xf numFmtId="180" fontId="97" fillId="0" borderId="12" xfId="0" applyNumberFormat="1" applyFont="1" applyFill="1" applyBorder="1" applyAlignment="1">
      <alignment horizontal="center" vertical="center" wrapText="1"/>
    </xf>
    <xf numFmtId="177" fontId="88" fillId="0" borderId="0" xfId="65" applyNumberFormat="1" applyFont="1" applyFill="1" applyBorder="1" applyAlignment="1">
      <alignment horizontal="center" vertical="center"/>
    </xf>
    <xf numFmtId="177" fontId="73" fillId="0" borderId="0" xfId="65" applyNumberFormat="1" applyFont="1" applyFill="1" applyBorder="1" applyAlignment="1">
      <alignment horizontal="center" vertical="center"/>
    </xf>
    <xf numFmtId="177" fontId="107" fillId="0" borderId="1" xfId="57" applyNumberFormat="1" applyFont="1" applyFill="1" applyBorder="1" applyAlignment="1" applyProtection="1">
      <alignment horizontal="center" vertical="center" wrapText="1"/>
    </xf>
    <xf numFmtId="0" fontId="107" fillId="0" borderId="1" xfId="57" applyFont="1" applyFill="1" applyBorder="1" applyAlignment="1" applyProtection="1">
      <alignment horizontal="center" vertical="center" wrapText="1"/>
    </xf>
    <xf numFmtId="177" fontId="107" fillId="0" borderId="1" xfId="57" applyNumberFormat="1" applyFont="1" applyFill="1" applyBorder="1" applyAlignment="1" applyProtection="1">
      <alignment vertical="center" wrapText="1"/>
    </xf>
    <xf numFmtId="0" fontId="107" fillId="0" borderId="1" xfId="57" applyFont="1" applyFill="1" applyBorder="1" applyAlignment="1" applyProtection="1">
      <alignment vertical="center" wrapText="1"/>
    </xf>
    <xf numFmtId="180" fontId="109" fillId="3" borderId="1" xfId="0" applyNumberFormat="1" applyFont="1" applyFill="1" applyBorder="1" applyAlignment="1">
      <alignment horizontal="center" vertical="center"/>
    </xf>
    <xf numFmtId="180" fontId="110" fillId="0" borderId="1" xfId="0" applyNumberFormat="1" applyFont="1" applyFill="1" applyBorder="1" applyAlignment="1">
      <alignment horizontal="center" vertical="center"/>
    </xf>
    <xf numFmtId="177" fontId="102" fillId="0" borderId="0" xfId="65" applyNumberFormat="1" applyFont="1" applyFill="1" applyBorder="1" applyAlignment="1">
      <alignment horizontal="center" vertical="center"/>
    </xf>
    <xf numFmtId="177" fontId="107" fillId="0" borderId="2" xfId="57" applyNumberFormat="1" applyFont="1" applyFill="1" applyBorder="1" applyAlignment="1" applyProtection="1">
      <alignment horizontal="center" vertical="center" wrapText="1"/>
    </xf>
    <xf numFmtId="177" fontId="107" fillId="0" borderId="4" xfId="57" applyNumberFormat="1" applyFont="1" applyFill="1" applyBorder="1" applyAlignment="1" applyProtection="1">
      <alignment horizontal="center" vertical="center" wrapText="1"/>
    </xf>
    <xf numFmtId="177" fontId="60" fillId="0" borderId="6" xfId="0" applyNumberFormat="1" applyFont="1" applyFill="1" applyBorder="1" applyAlignment="1">
      <alignment horizontal="left" vertical="center" wrapText="1"/>
    </xf>
    <xf numFmtId="177" fontId="111" fillId="0" borderId="6" xfId="57" applyNumberFormat="1" applyFont="1" applyFill="1" applyBorder="1" applyAlignment="1" applyProtection="1">
      <alignment horizontal="center" vertical="center" wrapText="1"/>
    </xf>
    <xf numFmtId="180" fontId="112" fillId="3" borderId="1" xfId="3" applyNumberFormat="1" applyFont="1" applyFill="1" applyBorder="1" applyAlignment="1">
      <alignment horizontal="center" vertical="center"/>
    </xf>
    <xf numFmtId="0" fontId="6" fillId="0" borderId="0" xfId="0" applyNumberFormat="1" applyFont="1" applyFill="1" applyBorder="1" applyAlignment="1"/>
    <xf numFmtId="180" fontId="113" fillId="0" borderId="1" xfId="0" applyNumberFormat="1" applyFont="1" applyFill="1" applyBorder="1" applyAlignment="1">
      <alignment horizontal="center" vertical="center"/>
    </xf>
    <xf numFmtId="0" fontId="68" fillId="0" borderId="0" xfId="0" applyFont="1" applyFill="1" applyBorder="1" applyAlignment="1">
      <alignment vertical="center"/>
    </xf>
    <xf numFmtId="0" fontId="69" fillId="0" borderId="0" xfId="0" applyFont="1" applyFill="1" applyBorder="1" applyAlignment="1">
      <alignment vertical="center"/>
    </xf>
    <xf numFmtId="180" fontId="69" fillId="0" borderId="0" xfId="0" applyNumberFormat="1" applyFont="1" applyFill="1" applyBorder="1" applyAlignment="1">
      <alignment vertical="center"/>
    </xf>
    <xf numFmtId="180" fontId="69" fillId="0" borderId="0" xfId="0" applyNumberFormat="1" applyFont="1" applyFill="1" applyBorder="1" applyAlignment="1">
      <alignment horizontal="center" vertical="center"/>
    </xf>
    <xf numFmtId="0" fontId="22" fillId="0" borderId="0" xfId="0" applyFont="1" applyFill="1" applyBorder="1" applyAlignment="1">
      <alignment vertical="center" wrapText="1"/>
    </xf>
    <xf numFmtId="180" fontId="32" fillId="0" borderId="0" xfId="0" applyNumberFormat="1" applyFont="1" applyFill="1" applyBorder="1" applyAlignment="1">
      <alignment vertical="center" wrapText="1"/>
    </xf>
    <xf numFmtId="180" fontId="0" fillId="0" borderId="0" xfId="0" applyNumberFormat="1" applyFont="1" applyFill="1" applyBorder="1" applyAlignment="1">
      <alignment vertical="center" wrapText="1"/>
    </xf>
    <xf numFmtId="0" fontId="0" fillId="0" borderId="0" xfId="0" applyFont="1" applyFill="1" applyBorder="1" applyAlignment="1">
      <alignment vertical="center" wrapText="1"/>
    </xf>
    <xf numFmtId="0" fontId="114" fillId="0" borderId="0" xfId="0" applyFont="1" applyFill="1" applyAlignment="1">
      <alignment horizontal="center" vertical="center"/>
    </xf>
    <xf numFmtId="0" fontId="115" fillId="0" borderId="0" xfId="0" applyFont="1" applyFill="1" applyAlignment="1">
      <alignment horizontal="center" vertical="center"/>
    </xf>
    <xf numFmtId="180" fontId="115" fillId="0" borderId="0" xfId="0" applyNumberFormat="1" applyFont="1" applyFill="1" applyAlignment="1">
      <alignment horizontal="center" vertical="center"/>
    </xf>
    <xf numFmtId="0" fontId="116" fillId="0" borderId="2" xfId="0" applyFont="1" applyFill="1" applyBorder="1" applyAlignment="1">
      <alignment horizontal="center" vertical="center" wrapText="1"/>
    </xf>
    <xf numFmtId="176" fontId="30" fillId="0" borderId="2" xfId="63" applyNumberFormat="1" applyFont="1" applyFill="1" applyBorder="1" applyAlignment="1">
      <alignment horizontal="center" vertical="center" wrapText="1"/>
    </xf>
    <xf numFmtId="176" fontId="22" fillId="0" borderId="10" xfId="63" applyNumberFormat="1" applyFont="1" applyFill="1" applyBorder="1" applyAlignment="1">
      <alignment horizontal="center" vertical="center" wrapText="1"/>
    </xf>
    <xf numFmtId="176" fontId="22" fillId="0" borderId="11" xfId="63" applyNumberFormat="1" applyFont="1" applyFill="1" applyBorder="1" applyAlignment="1">
      <alignment horizontal="center" vertical="center" wrapText="1"/>
    </xf>
    <xf numFmtId="176" fontId="22" fillId="0" borderId="12" xfId="63" applyNumberFormat="1" applyFont="1" applyFill="1" applyBorder="1" applyAlignment="1">
      <alignment horizontal="center" vertical="center" wrapText="1"/>
    </xf>
    <xf numFmtId="0" fontId="116" fillId="0" borderId="6" xfId="0" applyFont="1" applyFill="1" applyBorder="1" applyAlignment="1">
      <alignment horizontal="center" vertical="center" wrapText="1"/>
    </xf>
    <xf numFmtId="176" fontId="30" fillId="0" borderId="6" xfId="63" applyNumberFormat="1" applyFont="1" applyFill="1" applyBorder="1" applyAlignment="1">
      <alignment horizontal="center" vertical="center" wrapText="1"/>
    </xf>
    <xf numFmtId="0" fontId="22" fillId="0" borderId="1" xfId="63" applyNumberFormat="1" applyFont="1" applyFill="1" applyBorder="1" applyAlignment="1">
      <alignment horizontal="center" vertical="center" wrapText="1"/>
    </xf>
    <xf numFmtId="0" fontId="117" fillId="0" borderId="1" xfId="63" applyNumberFormat="1" applyFont="1" applyFill="1" applyBorder="1" applyAlignment="1">
      <alignment horizontal="center" vertical="center" wrapText="1"/>
    </xf>
    <xf numFmtId="184" fontId="22" fillId="0" borderId="1" xfId="63" applyNumberFormat="1" applyFont="1" applyFill="1" applyBorder="1" applyAlignment="1">
      <alignment horizontal="center" vertical="center" wrapText="1"/>
    </xf>
    <xf numFmtId="180" fontId="118" fillId="0" borderId="1" xfId="0" applyNumberFormat="1" applyFont="1" applyFill="1" applyBorder="1" applyAlignment="1">
      <alignment horizontal="center" vertical="center"/>
    </xf>
    <xf numFmtId="177" fontId="31" fillId="0" borderId="1" xfId="0" applyNumberFormat="1" applyFont="1" applyFill="1" applyBorder="1" applyAlignment="1">
      <alignment horizontal="center" vertical="center" wrapText="1"/>
    </xf>
    <xf numFmtId="0" fontId="119" fillId="0" borderId="1" xfId="0" applyFont="1" applyFill="1" applyBorder="1" applyAlignment="1">
      <alignment horizontal="center" vertical="center"/>
    </xf>
    <xf numFmtId="179" fontId="30" fillId="0" borderId="1" xfId="68" applyNumberFormat="1" applyFont="1" applyFill="1" applyBorder="1" applyAlignment="1" applyProtection="1">
      <alignment vertical="center" wrapText="1"/>
    </xf>
    <xf numFmtId="179" fontId="31" fillId="0" borderId="1" xfId="68" applyNumberFormat="1" applyFont="1" applyFill="1" applyBorder="1" applyAlignment="1" applyProtection="1">
      <alignment vertical="center" wrapText="1"/>
    </xf>
    <xf numFmtId="180" fontId="119" fillId="0" borderId="1" xfId="0" applyNumberFormat="1" applyFont="1" applyFill="1" applyBorder="1" applyAlignment="1">
      <alignment horizontal="center" vertical="center"/>
    </xf>
    <xf numFmtId="0" fontId="20" fillId="0" borderId="1" xfId="41" applyNumberFormat="1" applyFont="1" applyFill="1" applyBorder="1" applyAlignment="1" applyProtection="1">
      <alignment horizontal="left" vertical="center" wrapText="1"/>
    </xf>
    <xf numFmtId="0" fontId="69" fillId="0" borderId="1" xfId="0" applyFont="1" applyFill="1" applyBorder="1" applyAlignment="1">
      <alignment vertical="center"/>
    </xf>
    <xf numFmtId="180" fontId="69" fillId="0" borderId="1" xfId="0" applyNumberFormat="1" applyFont="1" applyFill="1" applyBorder="1" applyAlignment="1">
      <alignment vertical="center"/>
    </xf>
    <xf numFmtId="0" fontId="69" fillId="0" borderId="0" xfId="0" applyFont="1" applyFill="1" applyAlignment="1">
      <alignment horizontal="left" vertical="center" wrapText="1"/>
    </xf>
    <xf numFmtId="180" fontId="0" fillId="0" borderId="0" xfId="0" applyNumberFormat="1" applyFont="1" applyFill="1" applyBorder="1" applyAlignment="1">
      <alignment horizontal="center" vertical="center" wrapText="1"/>
    </xf>
    <xf numFmtId="0" fontId="22" fillId="0" borderId="1" xfId="41" applyNumberFormat="1" applyFont="1" applyFill="1" applyBorder="1" applyAlignment="1" applyProtection="1">
      <alignment horizontal="center" vertical="center" wrapText="1"/>
    </xf>
    <xf numFmtId="180" fontId="31" fillId="0" borderId="1" xfId="63" applyNumberFormat="1" applyFont="1" applyFill="1" applyBorder="1" applyAlignment="1">
      <alignment horizontal="center" vertical="center" wrapText="1"/>
    </xf>
    <xf numFmtId="0" fontId="20" fillId="0" borderId="1" xfId="41" applyNumberFormat="1" applyFont="1" applyFill="1" applyBorder="1" applyAlignment="1" applyProtection="1">
      <alignment horizontal="center" vertical="center" wrapText="1"/>
    </xf>
    <xf numFmtId="0" fontId="22" fillId="0" borderId="10" xfId="40" applyNumberFormat="1" applyFont="1" applyFill="1" applyBorder="1" applyAlignment="1">
      <alignment horizontal="center" vertical="center" wrapText="1"/>
    </xf>
    <xf numFmtId="0" fontId="22" fillId="0" borderId="11" xfId="40" applyNumberFormat="1" applyFont="1" applyFill="1" applyBorder="1" applyAlignment="1">
      <alignment horizontal="center" vertical="center" wrapText="1"/>
    </xf>
    <xf numFmtId="0" fontId="22" fillId="0" borderId="1" xfId="40" applyNumberFormat="1" applyFont="1" applyFill="1" applyBorder="1" applyAlignment="1">
      <alignment horizontal="center" vertical="center" wrapText="1"/>
    </xf>
    <xf numFmtId="178" fontId="22" fillId="0" borderId="1" xfId="63" applyNumberFormat="1" applyFont="1" applyFill="1" applyBorder="1" applyAlignment="1">
      <alignment horizontal="center" vertical="center" wrapText="1"/>
    </xf>
    <xf numFmtId="0" fontId="69" fillId="0" borderId="1" xfId="0" applyFont="1" applyFill="1" applyBorder="1" applyAlignment="1">
      <alignment horizontal="center" vertical="center"/>
    </xf>
    <xf numFmtId="0" fontId="87" fillId="0" borderId="0" xfId="0" applyNumberFormat="1" applyFont="1" applyFill="1" applyBorder="1" applyAlignment="1">
      <alignment wrapText="1"/>
    </xf>
    <xf numFmtId="0" fontId="22" fillId="0" borderId="12" xfId="40" applyNumberFormat="1" applyFont="1" applyFill="1" applyBorder="1" applyAlignment="1">
      <alignment horizontal="center" vertical="center" wrapText="1"/>
    </xf>
    <xf numFmtId="176" fontId="22" fillId="0" borderId="10" xfId="0" applyNumberFormat="1" applyFont="1" applyFill="1" applyBorder="1" applyAlignment="1">
      <alignment horizontal="center" vertical="center" wrapText="1"/>
    </xf>
    <xf numFmtId="176" fontId="22" fillId="0" borderId="11" xfId="0" applyNumberFormat="1" applyFont="1" applyFill="1" applyBorder="1" applyAlignment="1">
      <alignment horizontal="center" vertical="center" wrapText="1"/>
    </xf>
    <xf numFmtId="176" fontId="22" fillId="0" borderId="12" xfId="0" applyNumberFormat="1" applyFont="1" applyFill="1" applyBorder="1" applyAlignment="1">
      <alignment horizontal="center" vertical="center" wrapText="1"/>
    </xf>
    <xf numFmtId="184" fontId="22" fillId="0" borderId="1" xfId="4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64" applyNumberFormat="1" applyFont="1" applyFill="1" applyBorder="1" applyAlignment="1">
      <alignment horizontal="center" vertical="center" wrapText="1"/>
    </xf>
    <xf numFmtId="0" fontId="118" fillId="0" borderId="1" xfId="0" applyFont="1" applyFill="1" applyBorder="1" applyAlignment="1">
      <alignment horizontal="center" vertical="center"/>
    </xf>
    <xf numFmtId="180" fontId="87" fillId="0" borderId="0" xfId="0" applyNumberFormat="1" applyFont="1" applyFill="1" applyBorder="1" applyAlignment="1">
      <alignment wrapText="1"/>
    </xf>
    <xf numFmtId="0" fontId="20" fillId="0" borderId="0" xfId="0" applyFont="1" applyFill="1" applyAlignment="1">
      <alignment vertical="center"/>
    </xf>
    <xf numFmtId="0" fontId="20" fillId="0" borderId="0" xfId="0" applyFont="1" applyFill="1" applyAlignment="1">
      <alignment horizontal="right" vertical="center"/>
    </xf>
    <xf numFmtId="0" fontId="31" fillId="0" borderId="1" xfId="63" applyNumberFormat="1" applyFont="1" applyFill="1" applyBorder="1" applyAlignment="1">
      <alignment horizontal="center" vertical="center" wrapText="1"/>
    </xf>
    <xf numFmtId="0" fontId="68" fillId="0" borderId="1" xfId="0" applyFont="1" applyFill="1" applyBorder="1" applyAlignment="1">
      <alignment vertical="center"/>
    </xf>
    <xf numFmtId="0" fontId="66" fillId="0" borderId="0" xfId="0" applyFont="1" applyAlignment="1">
      <alignment horizontal="center" vertical="center"/>
    </xf>
    <xf numFmtId="0" fontId="75" fillId="0" borderId="0" xfId="0" applyFont="1">
      <alignment vertical="center"/>
    </xf>
    <xf numFmtId="0" fontId="20" fillId="0" borderId="0" xfId="0" applyFont="1" applyAlignment="1">
      <alignment horizontal="right" vertical="center"/>
    </xf>
    <xf numFmtId="0" fontId="74" fillId="0" borderId="1" xfId="0" applyFont="1" applyBorder="1" applyAlignment="1">
      <alignment horizontal="center" vertical="center"/>
    </xf>
    <xf numFmtId="0" fontId="32" fillId="0" borderId="1" xfId="0" applyFont="1" applyBorder="1" applyAlignment="1">
      <alignment horizontal="center" vertical="center"/>
    </xf>
    <xf numFmtId="43" fontId="32" fillId="0" borderId="1" xfId="0" applyNumberFormat="1" applyFont="1" applyFill="1" applyBorder="1" applyAlignment="1">
      <alignment horizontal="center" vertical="center"/>
    </xf>
    <xf numFmtId="43" fontId="32" fillId="0" borderId="1" xfId="0" applyNumberFormat="1" applyFont="1" applyFill="1" applyBorder="1" applyAlignment="1">
      <alignment horizontal="left" vertical="center"/>
    </xf>
    <xf numFmtId="0" fontId="32" fillId="0" borderId="1" xfId="0" applyFont="1" applyFill="1" applyBorder="1" applyAlignment="1">
      <alignment horizontal="center" vertical="center"/>
    </xf>
    <xf numFmtId="179" fontId="31" fillId="0" borderId="1" xfId="68" applyNumberFormat="1" applyFont="1" applyFill="1" applyBorder="1" applyAlignment="1" applyProtection="1">
      <alignment horizontal="center" vertical="center" wrapText="1"/>
    </xf>
    <xf numFmtId="43" fontId="0" fillId="0" borderId="1" xfId="0" applyNumberFormat="1" applyFont="1" applyFill="1" applyBorder="1" applyAlignment="1">
      <alignment horizontal="center" vertical="center"/>
    </xf>
    <xf numFmtId="0" fontId="120" fillId="0" borderId="0" xfId="62" applyFont="1" applyFill="1" applyBorder="1" applyAlignment="1">
      <alignment vertical="center" wrapText="1"/>
    </xf>
    <xf numFmtId="0" fontId="121" fillId="0" borderId="0" xfId="62" applyFont="1" applyFill="1" applyBorder="1" applyAlignment="1">
      <alignment vertical="center" wrapText="1"/>
    </xf>
    <xf numFmtId="0" fontId="122" fillId="0" borderId="0" xfId="62" applyFont="1" applyFill="1" applyBorder="1" applyAlignment="1">
      <alignment vertical="center" wrapText="1"/>
    </xf>
    <xf numFmtId="0" fontId="123" fillId="0" borderId="0" xfId="62" applyFont="1" applyFill="1" applyBorder="1" applyAlignment="1">
      <alignment vertical="center" wrapText="1"/>
    </xf>
    <xf numFmtId="176" fontId="60" fillId="0" borderId="0" xfId="70" applyNumberFormat="1" applyFont="1" applyFill="1" applyBorder="1" applyAlignment="1">
      <alignment vertical="center" wrapText="1"/>
    </xf>
    <xf numFmtId="43" fontId="124" fillId="0" borderId="0" xfId="9" applyNumberFormat="1" applyFont="1" applyFill="1" applyAlignment="1"/>
    <xf numFmtId="0" fontId="125" fillId="0" borderId="0" xfId="0" applyFont="1" applyFill="1" applyBorder="1" applyAlignment="1">
      <alignment horizontal="left" vertical="center"/>
    </xf>
    <xf numFmtId="0" fontId="125" fillId="0" borderId="0" xfId="0" applyFont="1" applyFill="1" applyAlignment="1">
      <alignment horizontal="left" vertical="center"/>
    </xf>
    <xf numFmtId="0" fontId="72" fillId="0" borderId="0" xfId="0" applyFont="1" applyFill="1" applyAlignment="1">
      <alignment horizontal="left" vertical="center"/>
    </xf>
    <xf numFmtId="179" fontId="122" fillId="0" borderId="0" xfId="62" applyNumberFormat="1" applyFont="1" applyFill="1" applyBorder="1" applyAlignment="1">
      <alignment horizontal="center" vertical="center" wrapText="1"/>
    </xf>
    <xf numFmtId="0" fontId="62" fillId="0" borderId="0" xfId="62" applyFont="1" applyFill="1" applyAlignment="1">
      <alignment horizontal="center" vertical="center" wrapText="1"/>
    </xf>
    <xf numFmtId="0" fontId="126" fillId="0" borderId="0" xfId="62" applyFont="1" applyFill="1" applyAlignment="1">
      <alignment horizontal="center" vertical="center" wrapText="1"/>
    </xf>
    <xf numFmtId="0" fontId="77" fillId="0" borderId="0" xfId="62" applyFont="1" applyFill="1" applyBorder="1" applyAlignment="1">
      <alignment horizontal="center" vertical="center" wrapText="1"/>
    </xf>
    <xf numFmtId="0" fontId="127" fillId="0" borderId="0" xfId="62" applyFont="1" applyFill="1" applyAlignment="1">
      <alignment horizontal="center" vertical="center" wrapText="1"/>
    </xf>
    <xf numFmtId="176" fontId="17" fillId="0" borderId="1" xfId="70" applyNumberFormat="1" applyFont="1" applyFill="1" applyBorder="1" applyAlignment="1">
      <alignment horizontal="center" vertical="center" wrapText="1"/>
    </xf>
    <xf numFmtId="43" fontId="22" fillId="0" borderId="1" xfId="9" applyNumberFormat="1" applyFont="1" applyFill="1" applyBorder="1" applyAlignment="1" applyProtection="1">
      <alignment horizontal="center" vertical="center" wrapText="1"/>
    </xf>
    <xf numFmtId="179" fontId="17" fillId="0" borderId="10" xfId="70" applyNumberFormat="1" applyFont="1" applyFill="1" applyBorder="1" applyAlignment="1">
      <alignment horizontal="center" vertical="center" wrapText="1"/>
    </xf>
    <xf numFmtId="179" fontId="17" fillId="0" borderId="12" xfId="70" applyNumberFormat="1" applyFont="1" applyFill="1" applyBorder="1" applyAlignment="1">
      <alignment horizontal="center" vertical="center" wrapText="1"/>
    </xf>
    <xf numFmtId="179" fontId="22" fillId="0" borderId="10" xfId="70" applyNumberFormat="1" applyFont="1" applyFill="1" applyBorder="1" applyAlignment="1">
      <alignment horizontal="center" vertical="center" wrapText="1"/>
    </xf>
    <xf numFmtId="179" fontId="22" fillId="0" borderId="12" xfId="70" applyNumberFormat="1" applyFont="1" applyFill="1" applyBorder="1" applyAlignment="1">
      <alignment horizontal="center" vertical="center" wrapText="1"/>
    </xf>
    <xf numFmtId="176" fontId="17" fillId="0" borderId="1" xfId="62" applyNumberFormat="1" applyFont="1" applyFill="1" applyBorder="1" applyAlignment="1">
      <alignment horizontal="center" vertical="center" wrapText="1"/>
    </xf>
    <xf numFmtId="176" fontId="22" fillId="0" borderId="1" xfId="62" applyNumberFormat="1" applyFont="1" applyFill="1" applyBorder="1" applyAlignment="1">
      <alignment horizontal="center" vertical="center" wrapText="1"/>
    </xf>
    <xf numFmtId="176" fontId="118" fillId="0" borderId="1" xfId="70" applyNumberFormat="1" applyFont="1" applyFill="1" applyBorder="1" applyAlignment="1">
      <alignment horizontal="center" vertical="center" wrapText="1"/>
    </xf>
    <xf numFmtId="43" fontId="118" fillId="0" borderId="1" xfId="9" applyNumberFormat="1" applyFont="1" applyFill="1" applyBorder="1" applyAlignment="1" applyProtection="1">
      <alignment vertical="center" wrapText="1"/>
    </xf>
    <xf numFmtId="179" fontId="118" fillId="0" borderId="1" xfId="70" applyNumberFormat="1" applyFont="1" applyFill="1" applyBorder="1" applyAlignment="1">
      <alignment horizontal="center" vertical="center" wrapText="1"/>
    </xf>
    <xf numFmtId="185" fontId="118" fillId="0" borderId="1" xfId="70" applyNumberFormat="1" applyFont="1" applyFill="1" applyBorder="1" applyAlignment="1">
      <alignment horizontal="center" vertical="center" wrapText="1"/>
    </xf>
    <xf numFmtId="176" fontId="118" fillId="0" borderId="1" xfId="41" applyNumberFormat="1" applyFont="1" applyFill="1" applyBorder="1" applyAlignment="1" applyProtection="1">
      <alignment horizontal="center" vertical="center" wrapText="1"/>
    </xf>
    <xf numFmtId="180" fontId="30" fillId="0" borderId="1" xfId="70" applyNumberFormat="1" applyFont="1" applyFill="1" applyBorder="1" applyAlignment="1">
      <alignment horizontal="center" vertical="center" wrapText="1"/>
    </xf>
    <xf numFmtId="176" fontId="119" fillId="0" borderId="1" xfId="70" applyNumberFormat="1" applyFont="1" applyFill="1" applyBorder="1" applyAlignment="1">
      <alignment horizontal="center" vertical="center" wrapText="1"/>
    </xf>
    <xf numFmtId="186" fontId="118" fillId="0" borderId="1" xfId="9" applyNumberFormat="1" applyFont="1" applyFill="1" applyBorder="1" applyAlignment="1" applyProtection="1">
      <alignment vertical="center" wrapText="1"/>
    </xf>
    <xf numFmtId="0" fontId="119" fillId="0" borderId="1" xfId="70" applyNumberFormat="1" applyFont="1" applyFill="1" applyBorder="1" applyAlignment="1">
      <alignment horizontal="center" vertical="center" wrapText="1"/>
    </xf>
    <xf numFmtId="180" fontId="119" fillId="0" borderId="1" xfId="70" applyNumberFormat="1" applyFont="1" applyFill="1" applyBorder="1" applyAlignment="1">
      <alignment horizontal="center" vertical="center" wrapText="1"/>
    </xf>
    <xf numFmtId="180" fontId="31" fillId="0" borderId="1" xfId="70" applyNumberFormat="1" applyFont="1" applyFill="1" applyBorder="1" applyAlignment="1">
      <alignment horizontal="center" vertical="center" wrapText="1"/>
    </xf>
    <xf numFmtId="0" fontId="119" fillId="0" borderId="1" xfId="62" applyFont="1" applyFill="1" applyBorder="1" applyAlignment="1">
      <alignment horizontal="center" vertical="center" wrapText="1"/>
    </xf>
    <xf numFmtId="0" fontId="31" fillId="0" borderId="1" xfId="62" applyFont="1" applyFill="1" applyBorder="1" applyAlignment="1">
      <alignment horizontal="center" vertical="center" wrapText="1"/>
    </xf>
    <xf numFmtId="179" fontId="119" fillId="0" borderId="1" xfId="70" applyNumberFormat="1" applyFont="1" applyFill="1" applyBorder="1" applyAlignment="1">
      <alignment horizontal="center" vertical="center" wrapText="1"/>
    </xf>
    <xf numFmtId="176" fontId="119" fillId="0" borderId="1" xfId="41" applyNumberFormat="1" applyFont="1" applyFill="1" applyBorder="1" applyAlignment="1" applyProtection="1">
      <alignment horizontal="center" vertical="center" wrapText="1"/>
    </xf>
    <xf numFmtId="187" fontId="118" fillId="0" borderId="1" xfId="9" applyNumberFormat="1" applyFont="1" applyFill="1" applyBorder="1" applyAlignment="1" applyProtection="1">
      <alignment vertical="center" wrapText="1"/>
    </xf>
    <xf numFmtId="180" fontId="119" fillId="0" borderId="1" xfId="62" applyNumberFormat="1" applyFont="1" applyFill="1" applyBorder="1" applyAlignment="1">
      <alignment horizontal="center" vertical="center" wrapText="1"/>
    </xf>
    <xf numFmtId="180" fontId="31" fillId="0" borderId="1" xfId="62" applyNumberFormat="1" applyFont="1" applyFill="1" applyBorder="1" applyAlignment="1">
      <alignment horizontal="center" vertical="center" wrapText="1"/>
    </xf>
    <xf numFmtId="176" fontId="25" fillId="0" borderId="0" xfId="70" applyNumberFormat="1" applyFont="1" applyFill="1" applyAlignment="1">
      <alignment horizontal="left" vertical="center" wrapText="1"/>
    </xf>
    <xf numFmtId="176" fontId="128" fillId="0" borderId="0" xfId="70" applyNumberFormat="1" applyFont="1" applyFill="1" applyAlignment="1">
      <alignment horizontal="left" vertical="center" wrapText="1"/>
    </xf>
    <xf numFmtId="0" fontId="12" fillId="0" borderId="0" xfId="62" applyFont="1" applyFill="1" applyBorder="1" applyAlignment="1">
      <alignment vertical="center" wrapText="1"/>
    </xf>
    <xf numFmtId="179" fontId="122" fillId="0" borderId="0" xfId="62" applyNumberFormat="1" applyFont="1" applyFill="1" applyBorder="1" applyAlignment="1">
      <alignment vertical="center" wrapText="1"/>
    </xf>
    <xf numFmtId="0" fontId="129" fillId="0" borderId="0" xfId="62" applyFont="1" applyFill="1" applyBorder="1" applyAlignment="1">
      <alignment horizontal="right" vertical="center" wrapText="1"/>
    </xf>
    <xf numFmtId="0" fontId="122" fillId="0" borderId="0" xfId="62" applyFont="1" applyFill="1" applyBorder="1" applyAlignment="1">
      <alignment horizontal="right" vertical="center" wrapText="1"/>
    </xf>
    <xf numFmtId="179" fontId="17" fillId="0" borderId="1" xfId="70" applyNumberFormat="1" applyFont="1" applyFill="1" applyBorder="1" applyAlignment="1">
      <alignment horizontal="center" vertical="center" wrapText="1"/>
    </xf>
    <xf numFmtId="180" fontId="118" fillId="0" borderId="1" xfId="41" applyNumberFormat="1" applyFont="1" applyFill="1" applyBorder="1" applyAlignment="1" applyProtection="1">
      <alignment horizontal="center" vertical="center" wrapText="1"/>
    </xf>
    <xf numFmtId="188" fontId="118" fillId="0" borderId="1" xfId="41" applyNumberFormat="1" applyFont="1" applyFill="1" applyBorder="1" applyAlignment="1" applyProtection="1">
      <alignment horizontal="center" vertical="center" wrapText="1"/>
    </xf>
    <xf numFmtId="185" fontId="118" fillId="0" borderId="1" xfId="41" applyNumberFormat="1" applyFont="1" applyFill="1" applyBorder="1" applyAlignment="1" applyProtection="1">
      <alignment horizontal="center" vertical="center" wrapText="1"/>
    </xf>
    <xf numFmtId="180" fontId="119" fillId="0" borderId="1" xfId="41" applyNumberFormat="1" applyFont="1" applyFill="1" applyBorder="1" applyAlignment="1" applyProtection="1">
      <alignment horizontal="center" vertical="center" wrapText="1"/>
    </xf>
    <xf numFmtId="179" fontId="119" fillId="0" borderId="1" xfId="41" applyNumberFormat="1" applyFont="1" applyFill="1" applyBorder="1" applyAlignment="1" applyProtection="1">
      <alignment horizontal="center" vertical="center" wrapText="1"/>
    </xf>
    <xf numFmtId="176" fontId="25" fillId="0" borderId="0" xfId="70" applyNumberFormat="1" applyFont="1" applyFill="1" applyAlignment="1" applyProtection="1">
      <alignment horizontal="left" vertical="center" wrapText="1"/>
    </xf>
    <xf numFmtId="0" fontId="32" fillId="0" borderId="0" xfId="0" applyNumberFormat="1" applyFont="1" applyFill="1" applyBorder="1" applyAlignment="1">
      <alignment horizontal="center" vertical="center" wrapText="1"/>
    </xf>
    <xf numFmtId="0" fontId="0" fillId="0" borderId="0" xfId="0" applyFill="1" applyBorder="1" applyAlignment="1">
      <alignment vertical="center"/>
    </xf>
    <xf numFmtId="0" fontId="74" fillId="0" borderId="0" xfId="0" applyFont="1" applyFill="1" applyBorder="1" applyAlignment="1">
      <alignment vertical="center"/>
    </xf>
    <xf numFmtId="0" fontId="0" fillId="0" borderId="0" xfId="0" applyFont="1">
      <alignment vertical="center"/>
    </xf>
    <xf numFmtId="0" fontId="22" fillId="0" borderId="0" xfId="0" applyFont="1" applyFill="1" applyAlignment="1">
      <alignment vertical="center"/>
    </xf>
    <xf numFmtId="0" fontId="0" fillId="0" borderId="0" xfId="0" applyFont="1" applyFill="1" applyAlignment="1">
      <alignment vertical="center"/>
    </xf>
    <xf numFmtId="0" fontId="66" fillId="0" borderId="0" xfId="0" applyFont="1" applyFill="1" applyBorder="1" applyAlignment="1">
      <alignment horizontal="center" vertical="center" wrapText="1"/>
    </xf>
    <xf numFmtId="43" fontId="66"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43" fontId="32" fillId="0" borderId="0" xfId="0" applyNumberFormat="1" applyFont="1" applyFill="1" applyBorder="1" applyAlignment="1">
      <alignment horizontal="center" vertical="center"/>
    </xf>
    <xf numFmtId="43" fontId="0" fillId="0" borderId="0" xfId="0" applyNumberFormat="1" applyFont="1" applyFill="1" applyBorder="1" applyAlignment="1">
      <alignment horizontal="center" vertical="center"/>
    </xf>
    <xf numFmtId="43" fontId="0" fillId="0" borderId="0" xfId="0" applyNumberFormat="1" applyFont="1" applyFill="1" applyBorder="1" applyAlignment="1">
      <alignment vertical="center"/>
    </xf>
    <xf numFmtId="0" fontId="74" fillId="0" borderId="10" xfId="0" applyNumberFormat="1" applyFont="1" applyFill="1" applyBorder="1" applyAlignment="1">
      <alignment horizontal="center" vertical="center" wrapText="1"/>
    </xf>
    <xf numFmtId="43" fontId="74" fillId="0" borderId="1" xfId="0" applyNumberFormat="1" applyFont="1" applyFill="1" applyBorder="1" applyAlignment="1">
      <alignment horizontal="center" vertical="center" wrapText="1"/>
    </xf>
    <xf numFmtId="43" fontId="74" fillId="0" borderId="1" xfId="0" applyNumberFormat="1" applyFont="1" applyFill="1" applyBorder="1" applyAlignment="1">
      <alignment horizontal="center" vertical="center"/>
    </xf>
    <xf numFmtId="43" fontId="74" fillId="0" borderId="2" xfId="0" applyNumberFormat="1" applyFont="1" applyFill="1" applyBorder="1" applyAlignment="1">
      <alignment horizontal="center" vertical="center" wrapText="1"/>
    </xf>
    <xf numFmtId="43" fontId="74" fillId="0" borderId="10" xfId="0" applyNumberFormat="1" applyFont="1" applyFill="1" applyBorder="1" applyAlignment="1">
      <alignment horizontal="center" vertical="center"/>
    </xf>
    <xf numFmtId="43" fontId="74" fillId="0" borderId="6" xfId="0" applyNumberFormat="1" applyFont="1" applyFill="1" applyBorder="1" applyAlignment="1">
      <alignment horizontal="center" vertical="center" wrapText="1"/>
    </xf>
    <xf numFmtId="180" fontId="32" fillId="0" borderId="1" xfId="9" applyNumberFormat="1" applyFont="1" applyFill="1" applyBorder="1" applyAlignment="1">
      <alignment horizontal="center" vertical="center"/>
    </xf>
    <xf numFmtId="189" fontId="32" fillId="0" borderId="1" xfId="9" applyNumberFormat="1" applyFont="1" applyFill="1" applyBorder="1" applyAlignment="1">
      <alignment horizontal="center" vertical="center"/>
    </xf>
    <xf numFmtId="0" fontId="0" fillId="0" borderId="1" xfId="0" applyFont="1" applyFill="1" applyBorder="1" applyAlignment="1">
      <alignment horizontal="center" vertical="center"/>
    </xf>
    <xf numFmtId="187" fontId="32" fillId="0" borderId="1" xfId="9" applyNumberFormat="1" applyFont="1" applyFill="1" applyBorder="1" applyAlignment="1">
      <alignment horizontal="center" vertical="center"/>
    </xf>
    <xf numFmtId="43" fontId="26" fillId="0" borderId="0" xfId="0" applyNumberFormat="1" applyFont="1" applyFill="1" applyBorder="1" applyAlignment="1">
      <alignment horizontal="right" vertical="center"/>
    </xf>
    <xf numFmtId="43" fontId="58" fillId="0" borderId="0" xfId="0" applyNumberFormat="1" applyFont="1" applyFill="1" applyAlignment="1">
      <alignment horizontal="center" vertical="center"/>
    </xf>
    <xf numFmtId="43" fontId="74" fillId="0" borderId="11" xfId="0" applyNumberFormat="1" applyFont="1" applyFill="1" applyBorder="1" applyAlignment="1">
      <alignment horizontal="center" vertical="center"/>
    </xf>
    <xf numFmtId="43" fontId="74" fillId="0" borderId="12" xfId="0" applyNumberFormat="1" applyFont="1" applyFill="1" applyBorder="1" applyAlignment="1">
      <alignment horizontal="center" vertical="center"/>
    </xf>
  </cellXfs>
  <cellStyles count="71">
    <cellStyle name="常规" xfId="0" builtinId="0"/>
    <cellStyle name="货币[0]" xfId="1" builtinId="7"/>
    <cellStyle name="货币" xfId="2" builtinId="4"/>
    <cellStyle name="常规 39"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_Sheet1_1_分表7--母婴阻断" xfId="12"/>
    <cellStyle name="百分比" xfId="13" builtinId="5"/>
    <cellStyle name="已访问的超链接" xfId="14" builtinId="9"/>
    <cellStyle name="注释" xfId="15" builtinId="10"/>
    <cellStyle name="常规 6" xfId="16"/>
    <cellStyle name="常规 4_表2 扩大国家免疫规划" xfId="17"/>
    <cellStyle name="60% - 强调文字颜色 2" xfId="18" builtinId="36"/>
    <cellStyle name="标题 4" xfId="19" builtinId="19"/>
    <cellStyle name="警告文本" xfId="20" builtinId="11"/>
    <cellStyle name="标题" xfId="21" builtinId="15"/>
    <cellStyle name="常规 3 2 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常规_2016中央经费测算表_2" xfId="40"/>
    <cellStyle name="常规 2 2 2" xfId="41"/>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10 13" xfId="57"/>
    <cellStyle name="常规 2" xfId="58"/>
    <cellStyle name="常规 3" xfId="59"/>
    <cellStyle name="常规 4" xfId="60"/>
    <cellStyle name="常规 4 2" xfId="61"/>
    <cellStyle name="常规 4 5" xfId="62"/>
    <cellStyle name="常规_Sheet1" xfId="63"/>
    <cellStyle name="常规_Sheet3" xfId="64"/>
    <cellStyle name="常规_分表6--血液安全" xfId="65"/>
    <cellStyle name="常规_附件2-1-2-3-7" xfId="66"/>
    <cellStyle name="常规_附件8 (6)" xfId="67"/>
    <cellStyle name="常规_监测检测随访干预" xfId="68"/>
    <cellStyle name="常规_总表_1" xfId="69"/>
    <cellStyle name="常规_总表_任务表" xfId="70"/>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customXml" Target="../customXml/item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R19"/>
  <sheetViews>
    <sheetView zoomScale="85" zoomScaleNormal="85" topLeftCell="A7" workbookViewId="0">
      <selection activeCell="U7" sqref="U7"/>
    </sheetView>
  </sheetViews>
  <sheetFormatPr defaultColWidth="9" defaultRowHeight="15.6"/>
  <cols>
    <col min="1" max="1" width="18.875" customWidth="1"/>
    <col min="2" max="2" width="12.125" customWidth="1"/>
    <col min="3" max="3" width="14" customWidth="1"/>
    <col min="4" max="11" width="10.625" customWidth="1"/>
    <col min="12" max="12" width="17.25" customWidth="1"/>
    <col min="13" max="15" width="10.625" customWidth="1"/>
    <col min="16" max="16" width="13" customWidth="1"/>
  </cols>
  <sheetData>
    <row r="1" ht="24.95" customHeight="1" spans="1:16">
      <c r="A1" s="551" t="s">
        <v>0</v>
      </c>
      <c r="B1" s="552"/>
      <c r="C1" s="552"/>
      <c r="D1" s="552"/>
      <c r="E1" s="552"/>
      <c r="F1" s="552"/>
      <c r="G1" s="552"/>
      <c r="H1" s="552"/>
      <c r="I1" s="552"/>
      <c r="J1" s="552"/>
      <c r="K1" s="552"/>
      <c r="L1" s="552"/>
      <c r="M1" s="552"/>
      <c r="N1" s="552"/>
      <c r="O1" s="552"/>
      <c r="P1" s="552"/>
    </row>
    <row r="2" ht="24" customHeight="1" spans="1:16">
      <c r="A2" s="551" t="s">
        <v>1</v>
      </c>
      <c r="B2" s="552"/>
      <c r="C2" s="552"/>
      <c r="D2" s="552"/>
      <c r="E2" s="552"/>
      <c r="F2" s="552"/>
      <c r="G2" s="552"/>
      <c r="H2" s="552"/>
      <c r="I2" s="552"/>
      <c r="J2" s="552"/>
      <c r="K2" s="552"/>
      <c r="L2" s="552"/>
      <c r="M2" s="552"/>
      <c r="N2" s="552"/>
      <c r="O2" s="552"/>
      <c r="P2" s="552"/>
    </row>
    <row r="3" s="547" customFormat="1" ht="27.95" customHeight="1" spans="1:16">
      <c r="A3" s="553" t="s">
        <v>2</v>
      </c>
      <c r="B3" s="554"/>
      <c r="C3" s="554"/>
      <c r="D3" s="554"/>
      <c r="E3" s="554"/>
      <c r="F3" s="554"/>
      <c r="G3" s="554"/>
      <c r="H3" s="554"/>
      <c r="I3" s="554"/>
      <c r="J3" s="554"/>
      <c r="K3" s="554"/>
      <c r="L3" s="554"/>
      <c r="M3" s="554"/>
      <c r="N3" s="554"/>
      <c r="O3" s="554"/>
      <c r="P3" s="554"/>
    </row>
    <row r="4" s="548" customFormat="1" ht="17.1" customHeight="1" spans="1:226">
      <c r="A4" s="555"/>
      <c r="B4" s="556"/>
      <c r="C4" s="557"/>
      <c r="D4" s="557"/>
      <c r="E4" s="557"/>
      <c r="F4" s="558"/>
      <c r="G4" s="558"/>
      <c r="H4" s="557"/>
      <c r="I4" s="557"/>
      <c r="J4" s="557"/>
      <c r="K4" s="557"/>
      <c r="L4" s="557"/>
      <c r="M4" s="557"/>
      <c r="N4" s="569"/>
      <c r="O4" s="557"/>
      <c r="P4" s="570" t="s">
        <v>3</v>
      </c>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c r="EF4" s="156"/>
      <c r="EG4" s="156"/>
      <c r="EH4" s="156"/>
      <c r="EI4" s="156"/>
      <c r="EJ4" s="156"/>
      <c r="EK4" s="156"/>
      <c r="EL4" s="156"/>
      <c r="EM4" s="156"/>
      <c r="EN4" s="156"/>
      <c r="EO4" s="156"/>
      <c r="EP4" s="156"/>
      <c r="EQ4" s="156"/>
      <c r="ER4" s="156"/>
      <c r="ES4" s="156"/>
      <c r="ET4" s="156"/>
      <c r="EU4" s="156"/>
      <c r="EV4" s="156"/>
      <c r="EW4" s="156"/>
      <c r="EX4" s="156"/>
      <c r="EY4" s="156"/>
      <c r="EZ4" s="156"/>
      <c r="FA4" s="156"/>
      <c r="FB4" s="156"/>
      <c r="FC4" s="156"/>
      <c r="FD4" s="156"/>
      <c r="FE4" s="156"/>
      <c r="FF4" s="156"/>
      <c r="FG4" s="156"/>
      <c r="FH4" s="156"/>
      <c r="FI4" s="156"/>
      <c r="FJ4" s="156"/>
      <c r="FK4" s="156"/>
      <c r="FL4" s="156"/>
      <c r="FM4" s="156"/>
      <c r="FN4" s="156"/>
      <c r="FO4" s="156"/>
      <c r="FP4" s="156"/>
      <c r="FQ4" s="156"/>
      <c r="FR4" s="156"/>
      <c r="FS4" s="156"/>
      <c r="FT4" s="156"/>
      <c r="FU4" s="156"/>
      <c r="FV4" s="156"/>
      <c r="FW4" s="156"/>
      <c r="FX4" s="156"/>
      <c r="FY4" s="156"/>
      <c r="FZ4" s="156"/>
      <c r="GA4" s="156"/>
      <c r="GB4" s="156"/>
      <c r="GC4" s="156"/>
      <c r="GD4" s="156"/>
      <c r="GE4" s="156"/>
      <c r="GF4" s="156"/>
      <c r="GG4" s="156"/>
      <c r="GH4" s="156"/>
      <c r="GI4" s="156"/>
      <c r="GJ4" s="156"/>
      <c r="GK4" s="156"/>
      <c r="GL4" s="156"/>
      <c r="GM4" s="156"/>
      <c r="GN4" s="156"/>
      <c r="GO4" s="156"/>
      <c r="GP4" s="156"/>
      <c r="GQ4" s="156"/>
      <c r="GR4" s="156"/>
      <c r="GS4" s="156"/>
      <c r="GT4" s="156"/>
      <c r="GU4" s="156"/>
      <c r="GV4" s="156"/>
      <c r="GW4" s="156"/>
      <c r="GX4" s="156"/>
      <c r="GY4" s="156"/>
      <c r="GZ4" s="156"/>
      <c r="HA4" s="156"/>
      <c r="HB4" s="156"/>
      <c r="HC4" s="156"/>
      <c r="HD4" s="156"/>
      <c r="HE4" s="156"/>
      <c r="HF4" s="156"/>
      <c r="HG4" s="156"/>
      <c r="HH4" s="156"/>
      <c r="HI4" s="156"/>
      <c r="HJ4" s="156"/>
      <c r="HK4" s="156"/>
      <c r="HL4" s="156"/>
      <c r="HM4" s="156"/>
      <c r="HN4" s="156"/>
      <c r="HO4" s="156"/>
      <c r="HP4" s="156"/>
      <c r="HQ4" s="156"/>
      <c r="HR4" s="156"/>
    </row>
    <row r="5" s="549" customFormat="1" ht="30" customHeight="1" spans="1:16">
      <c r="A5" s="559" t="s">
        <v>4</v>
      </c>
      <c r="B5" s="560" t="s">
        <v>5</v>
      </c>
      <c r="C5" s="561" t="s">
        <v>6</v>
      </c>
      <c r="D5" s="561"/>
      <c r="E5" s="561"/>
      <c r="F5" s="561"/>
      <c r="G5" s="561"/>
      <c r="H5" s="561"/>
      <c r="I5" s="561"/>
      <c r="J5" s="561"/>
      <c r="K5" s="561"/>
      <c r="L5" s="561"/>
      <c r="M5" s="561"/>
      <c r="N5" s="561"/>
      <c r="O5" s="561"/>
      <c r="P5" s="561"/>
    </row>
    <row r="6" s="549" customFormat="1" ht="23.1" customHeight="1" spans="1:16">
      <c r="A6" s="559"/>
      <c r="B6" s="560"/>
      <c r="C6" s="562" t="s">
        <v>7</v>
      </c>
      <c r="D6" s="562" t="s">
        <v>8</v>
      </c>
      <c r="E6" s="562" t="s">
        <v>9</v>
      </c>
      <c r="F6" s="562" t="s">
        <v>10</v>
      </c>
      <c r="G6" s="562" t="s">
        <v>11</v>
      </c>
      <c r="H6" s="563" t="s">
        <v>12</v>
      </c>
      <c r="I6" s="571"/>
      <c r="J6" s="571"/>
      <c r="K6" s="571"/>
      <c r="L6" s="571"/>
      <c r="M6" s="571"/>
      <c r="N6" s="571"/>
      <c r="O6" s="572"/>
      <c r="P6" s="562" t="s">
        <v>13</v>
      </c>
    </row>
    <row r="7" s="549" customFormat="1" ht="108" customHeight="1" spans="1:16">
      <c r="A7" s="559"/>
      <c r="B7" s="560"/>
      <c r="C7" s="564"/>
      <c r="D7" s="564"/>
      <c r="E7" s="564"/>
      <c r="F7" s="564"/>
      <c r="G7" s="564"/>
      <c r="H7" s="560" t="s">
        <v>14</v>
      </c>
      <c r="I7" s="560" t="s">
        <v>15</v>
      </c>
      <c r="J7" s="560" t="s">
        <v>16</v>
      </c>
      <c r="K7" s="560" t="s">
        <v>17</v>
      </c>
      <c r="L7" s="560" t="s">
        <v>18</v>
      </c>
      <c r="M7" s="560" t="s">
        <v>19</v>
      </c>
      <c r="N7" s="560" t="s">
        <v>20</v>
      </c>
      <c r="O7" s="560" t="s">
        <v>21</v>
      </c>
      <c r="P7" s="564"/>
    </row>
    <row r="8" s="157" customFormat="1" ht="29.1" customHeight="1" spans="1:16">
      <c r="A8" s="303" t="s">
        <v>22</v>
      </c>
      <c r="B8" s="565">
        <f>+B9+B18+B19</f>
        <v>654.65</v>
      </c>
      <c r="C8" s="565">
        <f t="shared" ref="C8:P8" si="0">+C9+C18+C19</f>
        <v>11.2</v>
      </c>
      <c r="D8" s="565">
        <f t="shared" si="0"/>
        <v>236.11</v>
      </c>
      <c r="E8" s="565">
        <f t="shared" si="0"/>
        <v>75.99</v>
      </c>
      <c r="F8" s="565">
        <f t="shared" si="0"/>
        <v>47.89</v>
      </c>
      <c r="G8" s="565">
        <f t="shared" si="0"/>
        <v>21.48</v>
      </c>
      <c r="H8" s="565">
        <f t="shared" si="0"/>
        <v>261.98</v>
      </c>
      <c r="I8" s="565">
        <f t="shared" si="0"/>
        <v>10</v>
      </c>
      <c r="J8" s="565">
        <f t="shared" si="0"/>
        <v>13.6</v>
      </c>
      <c r="K8" s="565">
        <f t="shared" si="0"/>
        <v>10</v>
      </c>
      <c r="L8" s="565">
        <f t="shared" si="0"/>
        <v>190.05</v>
      </c>
      <c r="M8" s="565">
        <f t="shared" si="0"/>
        <v>2.34</v>
      </c>
      <c r="N8" s="565">
        <f t="shared" si="0"/>
        <v>0.94</v>
      </c>
      <c r="O8" s="565">
        <f t="shared" si="0"/>
        <v>35.05</v>
      </c>
      <c r="P8" s="565">
        <f t="shared" si="0"/>
        <v>654.65</v>
      </c>
    </row>
    <row r="9" s="157" customFormat="1" ht="29.1" customHeight="1" spans="1:16">
      <c r="A9" s="303" t="s">
        <v>23</v>
      </c>
      <c r="B9" s="565">
        <f>+C9+D9+E9+F9+G9+H9</f>
        <v>529.69</v>
      </c>
      <c r="C9" s="566">
        <f>SUM(C10:C16)</f>
        <v>6.16</v>
      </c>
      <c r="D9" s="565">
        <f>SUM(D10:D17)</f>
        <v>188.56</v>
      </c>
      <c r="E9" s="565">
        <f>SUM(E10:E16)</f>
        <v>65</v>
      </c>
      <c r="F9" s="565">
        <f>SUM(F10:F16)</f>
        <v>40</v>
      </c>
      <c r="G9" s="565">
        <f>SUM(G10:G16)</f>
        <v>14.99</v>
      </c>
      <c r="H9" s="565">
        <f>SUM(H10:H17)</f>
        <v>214.98</v>
      </c>
      <c r="I9" s="565">
        <v>10</v>
      </c>
      <c r="J9" s="565">
        <f>SUM(J10:J16)</f>
        <v>11.6</v>
      </c>
      <c r="K9" s="565">
        <v>10</v>
      </c>
      <c r="L9" s="565">
        <f>SUM(L10:L16)</f>
        <v>168.31</v>
      </c>
      <c r="M9" s="565">
        <f>SUM(M10:M16)</f>
        <v>1.06</v>
      </c>
      <c r="N9" s="565">
        <f>SUM(N10:N16)</f>
        <v>0</v>
      </c>
      <c r="O9" s="565">
        <f>SUM(O10:O16)</f>
        <v>14.01</v>
      </c>
      <c r="P9" s="565">
        <f>P10+P11+P12+P13+P14+P15+P16+P17</f>
        <v>529.69</v>
      </c>
    </row>
    <row r="10" s="156" customFormat="1" ht="30" customHeight="1" spans="1:16">
      <c r="A10" s="567" t="s">
        <v>24</v>
      </c>
      <c r="B10" s="566">
        <f>+C10+D10+E10+F10+G10+H10</f>
        <v>36.39</v>
      </c>
      <c r="C10" s="565">
        <v>0.12</v>
      </c>
      <c r="D10" s="565">
        <v>31.73</v>
      </c>
      <c r="E10" s="565"/>
      <c r="F10" s="565"/>
      <c r="G10" s="565"/>
      <c r="H10" s="565">
        <f t="shared" ref="H10:H16" si="1">SUM(J10:O10)</f>
        <v>4.54</v>
      </c>
      <c r="I10" s="565"/>
      <c r="J10" s="565"/>
      <c r="K10" s="565"/>
      <c r="L10" s="565">
        <v>2.54</v>
      </c>
      <c r="M10" s="565"/>
      <c r="N10" s="565"/>
      <c r="O10" s="565">
        <v>2</v>
      </c>
      <c r="P10" s="565">
        <f t="shared" ref="P10:P19" si="2">C10+D10+E10+F10+G10+H10</f>
        <v>36.39</v>
      </c>
    </row>
    <row r="11" s="156" customFormat="1" ht="30" customHeight="1" spans="1:16">
      <c r="A11" s="567" t="s">
        <v>25</v>
      </c>
      <c r="B11" s="566">
        <f t="shared" ref="B10:B16" si="3">+C11+D11+E11+F11+G11+H11</f>
        <v>3.68</v>
      </c>
      <c r="C11" s="568">
        <v>0.01</v>
      </c>
      <c r="D11" s="565">
        <v>2.17</v>
      </c>
      <c r="E11" s="565"/>
      <c r="F11" s="565"/>
      <c r="G11" s="565"/>
      <c r="H11" s="565">
        <f t="shared" si="1"/>
        <v>1.5</v>
      </c>
      <c r="I11" s="565"/>
      <c r="J11" s="565"/>
      <c r="K11" s="565"/>
      <c r="L11" s="565"/>
      <c r="M11" s="565"/>
      <c r="N11" s="565"/>
      <c r="O11" s="565">
        <v>1.5</v>
      </c>
      <c r="P11" s="565">
        <f t="shared" si="2"/>
        <v>3.68</v>
      </c>
    </row>
    <row r="12" s="156" customFormat="1" ht="30" customHeight="1" spans="1:16">
      <c r="A12" s="567" t="s">
        <v>26</v>
      </c>
      <c r="B12" s="566">
        <f t="shared" si="3"/>
        <v>41.19</v>
      </c>
      <c r="C12" s="565">
        <v>0.24</v>
      </c>
      <c r="D12" s="565">
        <v>36.91</v>
      </c>
      <c r="E12" s="565"/>
      <c r="F12" s="565"/>
      <c r="G12" s="565">
        <v>1</v>
      </c>
      <c r="H12" s="565">
        <f t="shared" si="1"/>
        <v>3.04</v>
      </c>
      <c r="I12" s="565"/>
      <c r="J12" s="565"/>
      <c r="K12" s="565"/>
      <c r="L12" s="565">
        <v>2.54</v>
      </c>
      <c r="M12" s="565"/>
      <c r="N12" s="565"/>
      <c r="O12" s="565">
        <v>0.5</v>
      </c>
      <c r="P12" s="565">
        <f t="shared" si="2"/>
        <v>41.19</v>
      </c>
    </row>
    <row r="13" s="156" customFormat="1" ht="30" customHeight="1" spans="1:16">
      <c r="A13" s="567" t="s">
        <v>27</v>
      </c>
      <c r="B13" s="566">
        <f t="shared" si="3"/>
        <v>232.69</v>
      </c>
      <c r="C13" s="568">
        <v>5.79</v>
      </c>
      <c r="D13" s="565">
        <v>28.07</v>
      </c>
      <c r="E13" s="565"/>
      <c r="F13" s="565"/>
      <c r="G13" s="565">
        <v>13.99</v>
      </c>
      <c r="H13" s="565">
        <f t="shared" si="1"/>
        <v>184.84</v>
      </c>
      <c r="I13" s="565"/>
      <c r="J13" s="565">
        <v>11.6</v>
      </c>
      <c r="K13" s="565"/>
      <c r="L13" s="565">
        <v>163.23</v>
      </c>
      <c r="M13" s="565"/>
      <c r="N13" s="565"/>
      <c r="O13" s="565">
        <v>10.01</v>
      </c>
      <c r="P13" s="565">
        <f t="shared" si="2"/>
        <v>232.69</v>
      </c>
    </row>
    <row r="14" s="156" customFormat="1" ht="30" customHeight="1" spans="1:16">
      <c r="A14" s="567" t="s">
        <v>28</v>
      </c>
      <c r="B14" s="566">
        <f t="shared" si="3"/>
        <v>81.33</v>
      </c>
      <c r="C14" s="565"/>
      <c r="D14" s="565">
        <v>15.27</v>
      </c>
      <c r="E14" s="565">
        <v>65</v>
      </c>
      <c r="F14" s="565"/>
      <c r="G14" s="565"/>
      <c r="H14" s="565">
        <f t="shared" si="1"/>
        <v>1.06</v>
      </c>
      <c r="I14" s="565"/>
      <c r="J14" s="565"/>
      <c r="K14" s="565"/>
      <c r="L14" s="565"/>
      <c r="M14" s="565">
        <v>1.06</v>
      </c>
      <c r="N14" s="565"/>
      <c r="O14" s="565"/>
      <c r="P14" s="565">
        <f t="shared" si="2"/>
        <v>81.33</v>
      </c>
    </row>
    <row r="15" s="157" customFormat="1" ht="30" customHeight="1" spans="1:16">
      <c r="A15" s="567" t="s">
        <v>29</v>
      </c>
      <c r="B15" s="566">
        <f t="shared" si="3"/>
        <v>64.41</v>
      </c>
      <c r="C15" s="565"/>
      <c r="D15" s="565">
        <v>64.41</v>
      </c>
      <c r="E15" s="565"/>
      <c r="F15" s="565"/>
      <c r="G15" s="565"/>
      <c r="H15" s="565">
        <f t="shared" si="1"/>
        <v>0</v>
      </c>
      <c r="I15" s="565"/>
      <c r="J15" s="565"/>
      <c r="K15" s="565"/>
      <c r="L15" s="565"/>
      <c r="M15" s="565"/>
      <c r="N15" s="565"/>
      <c r="O15" s="565"/>
      <c r="P15" s="565">
        <f t="shared" si="2"/>
        <v>64.41</v>
      </c>
    </row>
    <row r="16" s="156" customFormat="1" ht="30" customHeight="1" spans="1:16">
      <c r="A16" s="567" t="s">
        <v>30</v>
      </c>
      <c r="B16" s="566">
        <f t="shared" si="3"/>
        <v>40</v>
      </c>
      <c r="C16" s="565"/>
      <c r="D16" s="565"/>
      <c r="E16" s="565"/>
      <c r="F16" s="565">
        <v>40</v>
      </c>
      <c r="G16" s="565"/>
      <c r="H16" s="565">
        <f t="shared" si="1"/>
        <v>0</v>
      </c>
      <c r="I16" s="565"/>
      <c r="J16" s="565"/>
      <c r="K16" s="565"/>
      <c r="L16" s="565"/>
      <c r="M16" s="565"/>
      <c r="N16" s="565"/>
      <c r="O16" s="565"/>
      <c r="P16" s="565">
        <f t="shared" si="2"/>
        <v>40</v>
      </c>
    </row>
    <row r="17" s="156" customFormat="1" ht="30" customHeight="1" spans="1:16">
      <c r="A17" s="567" t="s">
        <v>31</v>
      </c>
      <c r="B17" s="566">
        <v>30</v>
      </c>
      <c r="C17" s="565"/>
      <c r="D17" s="565">
        <v>10</v>
      </c>
      <c r="E17" s="565"/>
      <c r="F17" s="565"/>
      <c r="G17" s="565"/>
      <c r="H17" s="565">
        <v>20</v>
      </c>
      <c r="I17" s="565">
        <v>10</v>
      </c>
      <c r="J17" s="565"/>
      <c r="K17" s="565">
        <v>10</v>
      </c>
      <c r="L17" s="565"/>
      <c r="M17" s="565"/>
      <c r="N17" s="565"/>
      <c r="O17" s="565"/>
      <c r="P17" s="565">
        <f t="shared" si="2"/>
        <v>30</v>
      </c>
    </row>
    <row r="18" s="156" customFormat="1" ht="30" customHeight="1" spans="1:16">
      <c r="A18" s="491" t="s">
        <v>32</v>
      </c>
      <c r="B18" s="565">
        <f>+C18+D18+E18+F18+G18+H18</f>
        <v>47.48</v>
      </c>
      <c r="C18" s="565">
        <v>3</v>
      </c>
      <c r="D18" s="565">
        <v>20.37</v>
      </c>
      <c r="E18" s="565"/>
      <c r="F18" s="565">
        <v>3.77</v>
      </c>
      <c r="G18" s="565"/>
      <c r="H18" s="565">
        <f>SUM(J18:O18)</f>
        <v>20.34</v>
      </c>
      <c r="I18" s="565"/>
      <c r="J18" s="565">
        <v>1</v>
      </c>
      <c r="K18" s="565"/>
      <c r="L18" s="565">
        <v>10.87</v>
      </c>
      <c r="M18" s="565"/>
      <c r="N18" s="565">
        <v>0.47</v>
      </c>
      <c r="O18" s="565">
        <v>8</v>
      </c>
      <c r="P18" s="565">
        <f t="shared" si="2"/>
        <v>47.48</v>
      </c>
    </row>
    <row r="19" s="550" customFormat="1" ht="30" customHeight="1" spans="1:16">
      <c r="A19" s="491" t="s">
        <v>33</v>
      </c>
      <c r="B19" s="565">
        <f>+C19+D19+E19+F19+G19+H19</f>
        <v>77.48</v>
      </c>
      <c r="C19" s="565">
        <v>2.04</v>
      </c>
      <c r="D19" s="565">
        <v>27.18</v>
      </c>
      <c r="E19" s="565">
        <v>10.99</v>
      </c>
      <c r="F19" s="565">
        <v>4.12</v>
      </c>
      <c r="G19" s="565">
        <v>6.49</v>
      </c>
      <c r="H19" s="565">
        <f>SUM(J19:O19)</f>
        <v>26.66</v>
      </c>
      <c r="I19" s="565"/>
      <c r="J19" s="565">
        <v>1</v>
      </c>
      <c r="K19" s="565"/>
      <c r="L19" s="565">
        <v>10.87</v>
      </c>
      <c r="M19" s="565">
        <v>1.28</v>
      </c>
      <c r="N19" s="565">
        <v>0.47</v>
      </c>
      <c r="O19" s="565">
        <v>13.04</v>
      </c>
      <c r="P19" s="565">
        <f t="shared" si="2"/>
        <v>77.48</v>
      </c>
    </row>
  </sheetData>
  <mergeCells count="11">
    <mergeCell ref="A3:P3"/>
    <mergeCell ref="C5:P5"/>
    <mergeCell ref="H6:O6"/>
    <mergeCell ref="A5:A7"/>
    <mergeCell ref="B5:B7"/>
    <mergeCell ref="C6:C7"/>
    <mergeCell ref="D6:D7"/>
    <mergeCell ref="E6:E7"/>
    <mergeCell ref="F6:F7"/>
    <mergeCell ref="G6:G7"/>
    <mergeCell ref="P6:P7"/>
  </mergeCells>
  <printOptions horizontalCentered="1"/>
  <pageMargins left="0.786805555555556" right="0.747916666666667" top="0.984027777777778" bottom="0.984027777777778" header="0.511805555555556" footer="0.511805555555556"/>
  <pageSetup paperSize="9" scale="60" orientation="landscape" horizont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V19"/>
  <sheetViews>
    <sheetView workbookViewId="0">
      <selection activeCell="A2" sqref="A2:S2"/>
    </sheetView>
  </sheetViews>
  <sheetFormatPr defaultColWidth="9" defaultRowHeight="15.6"/>
  <cols>
    <col min="1" max="1" width="9" style="256"/>
    <col min="2" max="2" width="14.5" style="256" customWidth="1"/>
    <col min="3" max="16384" width="9" style="256"/>
  </cols>
  <sheetData>
    <row r="1" ht="29.1" customHeight="1" spans="1:19">
      <c r="A1" s="257" t="s">
        <v>220</v>
      </c>
      <c r="B1" s="258"/>
      <c r="C1" s="259"/>
      <c r="D1" s="258"/>
      <c r="E1" s="258"/>
      <c r="F1" s="259"/>
      <c r="G1" s="258"/>
      <c r="H1" s="259"/>
      <c r="I1" s="258"/>
      <c r="J1" s="261"/>
      <c r="K1" s="261"/>
      <c r="L1" s="259"/>
      <c r="M1" s="258"/>
      <c r="N1" s="261"/>
      <c r="O1" s="258"/>
      <c r="P1" s="261"/>
      <c r="Q1" s="261"/>
      <c r="R1" s="258"/>
      <c r="S1" s="291"/>
    </row>
    <row r="2" ht="51" customHeight="1" spans="1:19">
      <c r="A2" s="260" t="s">
        <v>221</v>
      </c>
      <c r="B2" s="260"/>
      <c r="C2" s="260"/>
      <c r="D2" s="260"/>
      <c r="E2" s="260"/>
      <c r="F2" s="260"/>
      <c r="G2" s="260"/>
      <c r="H2" s="260"/>
      <c r="I2" s="260"/>
      <c r="J2" s="260"/>
      <c r="K2" s="260"/>
      <c r="L2" s="260"/>
      <c r="M2" s="260"/>
      <c r="N2" s="260"/>
      <c r="O2" s="282"/>
      <c r="P2" s="260"/>
      <c r="Q2" s="260"/>
      <c r="R2" s="260"/>
      <c r="S2" s="260"/>
    </row>
    <row r="3" ht="30.95" customHeight="1" spans="1:22">
      <c r="A3" s="261"/>
      <c r="B3" s="258"/>
      <c r="C3" s="262"/>
      <c r="D3" s="263"/>
      <c r="E3" s="263"/>
      <c r="F3" s="264"/>
      <c r="G3" s="263"/>
      <c r="H3" s="264"/>
      <c r="I3" s="263"/>
      <c r="J3" s="283"/>
      <c r="K3" s="283"/>
      <c r="L3" s="264"/>
      <c r="M3" s="263"/>
      <c r="N3" s="283"/>
      <c r="O3" s="284"/>
      <c r="P3" s="285"/>
      <c r="Q3" s="292" t="s">
        <v>3</v>
      </c>
      <c r="R3" s="292"/>
      <c r="S3" s="292"/>
      <c r="T3" s="292"/>
      <c r="U3" s="292"/>
      <c r="V3" s="292"/>
    </row>
    <row r="4" ht="32.1" customHeight="1" spans="1:22">
      <c r="A4" s="265" t="s">
        <v>109</v>
      </c>
      <c r="B4" s="266" t="s">
        <v>5</v>
      </c>
      <c r="C4" s="267" t="s">
        <v>222</v>
      </c>
      <c r="D4" s="268"/>
      <c r="E4" s="269" t="s">
        <v>223</v>
      </c>
      <c r="F4" s="270"/>
      <c r="G4" s="269" t="s">
        <v>224</v>
      </c>
      <c r="H4" s="270"/>
      <c r="I4" s="286" t="s">
        <v>225</v>
      </c>
      <c r="J4" s="287"/>
      <c r="K4" s="287"/>
      <c r="L4" s="288"/>
      <c r="M4" s="267" t="s">
        <v>226</v>
      </c>
      <c r="N4" s="267"/>
      <c r="O4" s="268" t="s">
        <v>227</v>
      </c>
      <c r="P4" s="268"/>
      <c r="Q4" s="268"/>
      <c r="R4" s="268"/>
      <c r="S4" s="267" t="s">
        <v>228</v>
      </c>
      <c r="T4" s="267"/>
      <c r="U4" s="267" t="s">
        <v>229</v>
      </c>
      <c r="V4" s="267"/>
    </row>
    <row r="5" ht="63" customHeight="1" spans="1:22">
      <c r="A5" s="265"/>
      <c r="B5" s="266"/>
      <c r="C5" s="267" t="s">
        <v>230</v>
      </c>
      <c r="D5" s="268" t="s">
        <v>231</v>
      </c>
      <c r="E5" s="271" t="s">
        <v>230</v>
      </c>
      <c r="F5" s="272" t="s">
        <v>232</v>
      </c>
      <c r="G5" s="271" t="s">
        <v>230</v>
      </c>
      <c r="H5" s="272" t="s">
        <v>233</v>
      </c>
      <c r="I5" s="271" t="s">
        <v>234</v>
      </c>
      <c r="J5" s="272" t="s">
        <v>235</v>
      </c>
      <c r="K5" s="289" t="s">
        <v>236</v>
      </c>
      <c r="L5" s="272" t="s">
        <v>237</v>
      </c>
      <c r="M5" s="267" t="s">
        <v>238</v>
      </c>
      <c r="N5" s="268" t="s">
        <v>239</v>
      </c>
      <c r="O5" s="267" t="s">
        <v>240</v>
      </c>
      <c r="P5" s="268" t="s">
        <v>241</v>
      </c>
      <c r="Q5" s="293" t="s">
        <v>242</v>
      </c>
      <c r="R5" s="293" t="s">
        <v>243</v>
      </c>
      <c r="S5" s="293" t="s">
        <v>230</v>
      </c>
      <c r="T5" s="293" t="s">
        <v>244</v>
      </c>
      <c r="U5" s="293" t="s">
        <v>245</v>
      </c>
      <c r="V5" s="293" t="s">
        <v>246</v>
      </c>
    </row>
    <row r="6" ht="84" customHeight="1" spans="1:22">
      <c r="A6" s="265"/>
      <c r="B6" s="266"/>
      <c r="C6" s="267"/>
      <c r="D6" s="268"/>
      <c r="E6" s="273"/>
      <c r="F6" s="274"/>
      <c r="G6" s="273"/>
      <c r="H6" s="274"/>
      <c r="I6" s="273"/>
      <c r="J6" s="274"/>
      <c r="K6" s="290"/>
      <c r="L6" s="274"/>
      <c r="M6" s="267"/>
      <c r="N6" s="268"/>
      <c r="O6" s="267"/>
      <c r="P6" s="268"/>
      <c r="Q6" s="293"/>
      <c r="R6" s="293"/>
      <c r="S6" s="293"/>
      <c r="T6" s="293"/>
      <c r="U6" s="293"/>
      <c r="V6" s="293"/>
    </row>
    <row r="7" ht="45" customHeight="1" spans="1:22">
      <c r="A7" s="275" t="s">
        <v>22</v>
      </c>
      <c r="B7" s="276">
        <f>D7+F7+H7+J7+L7+N7+P7+Q7+R7+T7+V7</f>
        <v>75.99</v>
      </c>
      <c r="C7" s="277">
        <f t="shared" ref="C7:H7" si="0">SUM(C8:C9)</f>
        <v>1036</v>
      </c>
      <c r="D7" s="278">
        <f t="shared" ref="D7:D9" si="1">ROUND(C7*115/10000,2)</f>
        <v>11.91</v>
      </c>
      <c r="E7" s="277">
        <v>190</v>
      </c>
      <c r="F7" s="278">
        <f t="shared" si="0"/>
        <v>2.85</v>
      </c>
      <c r="G7" s="277">
        <v>290</v>
      </c>
      <c r="H7" s="278">
        <f t="shared" si="0"/>
        <v>1.74</v>
      </c>
      <c r="I7" s="277">
        <v>148</v>
      </c>
      <c r="J7" s="278">
        <f t="shared" ref="J7:N7" si="2">SUM(J8:J9)</f>
        <v>1.55</v>
      </c>
      <c r="K7" s="275">
        <v>335</v>
      </c>
      <c r="L7" s="278">
        <f t="shared" si="2"/>
        <v>7.04</v>
      </c>
      <c r="M7" s="277">
        <v>1</v>
      </c>
      <c r="N7" s="278">
        <f t="shared" si="2"/>
        <v>1.3</v>
      </c>
      <c r="O7" s="277">
        <v>2</v>
      </c>
      <c r="P7" s="278">
        <f t="shared" ref="P7:R7" si="3">SUM(P8:P9)</f>
        <v>2</v>
      </c>
      <c r="Q7" s="278">
        <f t="shared" si="3"/>
        <v>1.5</v>
      </c>
      <c r="R7" s="278">
        <f t="shared" si="3"/>
        <v>3</v>
      </c>
      <c r="S7" s="278">
        <v>13</v>
      </c>
      <c r="T7" s="278">
        <f>S7*2.7</f>
        <v>35.1</v>
      </c>
      <c r="U7" s="278">
        <v>6</v>
      </c>
      <c r="V7" s="278">
        <v>8</v>
      </c>
    </row>
    <row r="8" ht="45" customHeight="1" spans="1:22">
      <c r="A8" s="279" t="s">
        <v>100</v>
      </c>
      <c r="B8" s="276">
        <f>D8+F8+H8+J8+L8+N8+P8+Q8+R8+T8+V8</f>
        <v>65</v>
      </c>
      <c r="C8" s="277">
        <v>641</v>
      </c>
      <c r="D8" s="278">
        <f t="shared" si="1"/>
        <v>7.37</v>
      </c>
      <c r="E8" s="277">
        <v>108</v>
      </c>
      <c r="F8" s="278">
        <f>ROUND(E8*150/10000,2)</f>
        <v>1.62</v>
      </c>
      <c r="G8" s="277">
        <v>134</v>
      </c>
      <c r="H8" s="278">
        <f>ROUND(G8*60/10000,2)</f>
        <v>0.8</v>
      </c>
      <c r="I8" s="277">
        <v>102</v>
      </c>
      <c r="J8" s="278">
        <f>ROUND(I8*105/10000,2)</f>
        <v>1.07</v>
      </c>
      <c r="K8" s="275">
        <v>335</v>
      </c>
      <c r="L8" s="278">
        <f>ROUND(K8*210/10000,2)</f>
        <v>7.04</v>
      </c>
      <c r="M8" s="277"/>
      <c r="N8" s="278"/>
      <c r="O8" s="277">
        <v>1</v>
      </c>
      <c r="P8" s="278">
        <v>1</v>
      </c>
      <c r="Q8" s="278">
        <v>1</v>
      </c>
      <c r="R8" s="278">
        <v>2</v>
      </c>
      <c r="S8" s="278">
        <v>13</v>
      </c>
      <c r="T8" s="278">
        <f>S8*2.7</f>
        <v>35.1</v>
      </c>
      <c r="U8" s="278">
        <v>6</v>
      </c>
      <c r="V8" s="278">
        <v>8</v>
      </c>
    </row>
    <row r="9" ht="45" customHeight="1" spans="1:22">
      <c r="A9" s="280" t="s">
        <v>247</v>
      </c>
      <c r="B9" s="276">
        <f>D9+F9+H9+J9+L9+N9+P9+Q9+R9+T9+V9</f>
        <v>10.99</v>
      </c>
      <c r="C9" s="277">
        <v>395</v>
      </c>
      <c r="D9" s="278">
        <f t="shared" si="1"/>
        <v>4.54</v>
      </c>
      <c r="E9" s="277">
        <v>82</v>
      </c>
      <c r="F9" s="278">
        <f>ROUND(E9*150/10000,2)</f>
        <v>1.23</v>
      </c>
      <c r="G9" s="277">
        <v>156</v>
      </c>
      <c r="H9" s="278">
        <f>ROUND(G9*60/10000,2)</f>
        <v>0.94</v>
      </c>
      <c r="I9" s="277">
        <v>46</v>
      </c>
      <c r="J9" s="278">
        <f>ROUND(I9*105/10000,2)</f>
        <v>0.48</v>
      </c>
      <c r="K9" s="275"/>
      <c r="L9" s="278"/>
      <c r="M9" s="277">
        <v>1</v>
      </c>
      <c r="N9" s="278">
        <f>ROUND(M9*1.3,2)</f>
        <v>1.3</v>
      </c>
      <c r="O9" s="277">
        <v>1</v>
      </c>
      <c r="P9" s="278">
        <v>1</v>
      </c>
      <c r="Q9" s="278">
        <v>0.5</v>
      </c>
      <c r="R9" s="278">
        <v>1</v>
      </c>
      <c r="S9" s="278">
        <v>0</v>
      </c>
      <c r="T9" s="278">
        <v>0</v>
      </c>
      <c r="U9" s="278">
        <v>0</v>
      </c>
      <c r="V9" s="278">
        <v>0</v>
      </c>
    </row>
    <row r="10" ht="45" customHeight="1" spans="1:19">
      <c r="A10" s="281" t="s">
        <v>248</v>
      </c>
      <c r="B10" s="281"/>
      <c r="C10" s="281"/>
      <c r="D10" s="281"/>
      <c r="E10" s="281"/>
      <c r="F10" s="281"/>
      <c r="G10" s="281"/>
      <c r="H10" s="281"/>
      <c r="I10" s="281"/>
      <c r="J10" s="281"/>
      <c r="K10" s="281"/>
      <c r="L10" s="281"/>
      <c r="M10" s="281"/>
      <c r="N10" s="281"/>
      <c r="O10" s="281"/>
      <c r="P10" s="281"/>
      <c r="Q10" s="281"/>
      <c r="R10" s="261"/>
      <c r="S10" s="291"/>
    </row>
    <row r="11" s="255" customFormat="1" ht="14.4" spans="1:19">
      <c r="A11" s="281"/>
      <c r="B11" s="281"/>
      <c r="C11" s="281"/>
      <c r="D11" s="281"/>
      <c r="E11" s="281"/>
      <c r="F11" s="281"/>
      <c r="G11" s="281"/>
      <c r="H11" s="281"/>
      <c r="I11" s="281"/>
      <c r="J11" s="281"/>
      <c r="K11" s="281"/>
      <c r="L11" s="281"/>
      <c r="M11" s="281"/>
      <c r="N11" s="281"/>
      <c r="O11" s="281"/>
      <c r="P11" s="281"/>
      <c r="Q11" s="281"/>
      <c r="R11" s="261"/>
      <c r="S11" s="291"/>
    </row>
    <row r="12" s="255" customFormat="1" ht="14.4" spans="1:19">
      <c r="A12" s="281"/>
      <c r="B12" s="281"/>
      <c r="C12" s="281"/>
      <c r="D12" s="281"/>
      <c r="E12" s="281"/>
      <c r="F12" s="281"/>
      <c r="G12" s="281"/>
      <c r="H12" s="281"/>
      <c r="I12" s="281"/>
      <c r="J12" s="281"/>
      <c r="K12" s="281"/>
      <c r="L12" s="281"/>
      <c r="M12" s="281"/>
      <c r="N12" s="281"/>
      <c r="O12" s="281"/>
      <c r="P12" s="281"/>
      <c r="Q12" s="281"/>
      <c r="R12" s="261"/>
      <c r="S12" s="291"/>
    </row>
    <row r="13" s="255" customFormat="1" ht="14.4" spans="1:19">
      <c r="A13" s="281"/>
      <c r="B13" s="281"/>
      <c r="C13" s="281"/>
      <c r="D13" s="281"/>
      <c r="E13" s="281"/>
      <c r="F13" s="281"/>
      <c r="G13" s="281"/>
      <c r="H13" s="281"/>
      <c r="I13" s="281"/>
      <c r="J13" s="281"/>
      <c r="K13" s="281"/>
      <c r="L13" s="281"/>
      <c r="M13" s="281"/>
      <c r="N13" s="281"/>
      <c r="O13" s="281"/>
      <c r="P13" s="281"/>
      <c r="Q13" s="281"/>
      <c r="R13" s="261"/>
      <c r="S13" s="291"/>
    </row>
    <row r="14" s="255" customFormat="1" ht="14.4" spans="1:19">
      <c r="A14" s="281"/>
      <c r="B14" s="281"/>
      <c r="C14" s="281"/>
      <c r="D14" s="281"/>
      <c r="E14" s="281"/>
      <c r="F14" s="281"/>
      <c r="G14" s="281"/>
      <c r="H14" s="281"/>
      <c r="I14" s="281"/>
      <c r="J14" s="281"/>
      <c r="K14" s="281"/>
      <c r="L14" s="281"/>
      <c r="M14" s="281"/>
      <c r="N14" s="281"/>
      <c r="O14" s="281"/>
      <c r="P14" s="281"/>
      <c r="Q14" s="281"/>
      <c r="R14" s="261"/>
      <c r="S14" s="291"/>
    </row>
    <row r="15" s="255" customFormat="1" ht="14.4" spans="1:19">
      <c r="A15" s="281"/>
      <c r="B15" s="281"/>
      <c r="C15" s="281"/>
      <c r="D15" s="281"/>
      <c r="E15" s="281"/>
      <c r="F15" s="281"/>
      <c r="G15" s="281"/>
      <c r="H15" s="281"/>
      <c r="I15" s="281"/>
      <c r="J15" s="281"/>
      <c r="K15" s="281"/>
      <c r="L15" s="281"/>
      <c r="M15" s="281"/>
      <c r="N15" s="281"/>
      <c r="O15" s="281"/>
      <c r="P15" s="281"/>
      <c r="Q15" s="281"/>
      <c r="R15" s="261"/>
      <c r="S15" s="291"/>
    </row>
    <row r="16" s="255" customFormat="1" ht="14.4" spans="1:19">
      <c r="A16" s="281"/>
      <c r="B16" s="281"/>
      <c r="C16" s="281"/>
      <c r="D16" s="281"/>
      <c r="E16" s="281"/>
      <c r="F16" s="281"/>
      <c r="G16" s="281"/>
      <c r="H16" s="281"/>
      <c r="I16" s="281"/>
      <c r="J16" s="281"/>
      <c r="K16" s="281"/>
      <c r="L16" s="281"/>
      <c r="M16" s="281"/>
      <c r="N16" s="281"/>
      <c r="O16" s="281"/>
      <c r="P16" s="281"/>
      <c r="Q16" s="281"/>
      <c r="R16" s="261"/>
      <c r="S16" s="291"/>
    </row>
    <row r="17" s="255" customFormat="1" ht="14.4" spans="1:19">
      <c r="A17" s="281"/>
      <c r="B17" s="281"/>
      <c r="C17" s="281"/>
      <c r="D17" s="281"/>
      <c r="E17" s="281"/>
      <c r="F17" s="281"/>
      <c r="G17" s="281"/>
      <c r="H17" s="281"/>
      <c r="I17" s="281"/>
      <c r="J17" s="281"/>
      <c r="K17" s="281"/>
      <c r="L17" s="281"/>
      <c r="M17" s="281"/>
      <c r="N17" s="281"/>
      <c r="O17" s="281"/>
      <c r="P17" s="281"/>
      <c r="Q17" s="281"/>
      <c r="R17" s="261"/>
      <c r="S17" s="291"/>
    </row>
    <row r="18" s="255" customFormat="1" ht="14.4" spans="1:19">
      <c r="A18" s="281"/>
      <c r="B18" s="281"/>
      <c r="C18" s="281"/>
      <c r="D18" s="281"/>
      <c r="E18" s="281"/>
      <c r="F18" s="281"/>
      <c r="G18" s="281"/>
      <c r="H18" s="281"/>
      <c r="I18" s="281"/>
      <c r="J18" s="281"/>
      <c r="K18" s="281"/>
      <c r="L18" s="281"/>
      <c r="M18" s="281"/>
      <c r="N18" s="281"/>
      <c r="O18" s="281"/>
      <c r="P18" s="281"/>
      <c r="Q18" s="281"/>
      <c r="R18" s="261"/>
      <c r="S18" s="291"/>
    </row>
    <row r="19" s="255" customFormat="1" ht="51.95" customHeight="1"/>
  </sheetData>
  <mergeCells count="33">
    <mergeCell ref="A2:S2"/>
    <mergeCell ref="Q3:V3"/>
    <mergeCell ref="C4:D4"/>
    <mergeCell ref="E4:F4"/>
    <mergeCell ref="G4:H4"/>
    <mergeCell ref="I4:L4"/>
    <mergeCell ref="M4:N4"/>
    <mergeCell ref="O4:R4"/>
    <mergeCell ref="S4:T4"/>
    <mergeCell ref="U4:V4"/>
    <mergeCell ref="A4:A6"/>
    <mergeCell ref="B4:B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A10:Q18"/>
  </mergeCells>
  <printOptions horizontalCentered="1"/>
  <pageMargins left="0.751388888888889" right="0.751388888888889" top="1" bottom="1" header="0.5" footer="0.5"/>
  <pageSetup paperSize="9" scale="6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R13"/>
  <sheetViews>
    <sheetView zoomScale="85" zoomScaleNormal="85" workbookViewId="0">
      <selection activeCell="Z9" sqref="Z9"/>
    </sheetView>
  </sheetViews>
  <sheetFormatPr defaultColWidth="9" defaultRowHeight="15.6"/>
  <cols>
    <col min="1" max="1" width="7.375" customWidth="1"/>
    <col min="2" max="2" width="23" customWidth="1"/>
    <col min="3" max="3" width="11.5" customWidth="1"/>
    <col min="4" max="4" width="12.5" customWidth="1"/>
    <col min="5" max="5" width="10" customWidth="1"/>
    <col min="6" max="6" width="12.125" customWidth="1"/>
    <col min="7" max="7" width="10.875" customWidth="1"/>
    <col min="8" max="8" width="12.875" customWidth="1"/>
    <col min="9" max="9" width="9.875" customWidth="1"/>
    <col min="10" max="10" width="13.625" customWidth="1"/>
    <col min="11" max="11" width="16.75" customWidth="1"/>
    <col min="15" max="15" width="7.875" customWidth="1"/>
    <col min="16" max="17" width="9" hidden="1" customWidth="1"/>
    <col min="18" max="18" width="9.125" hidden="1" customWidth="1"/>
  </cols>
  <sheetData>
    <row r="1" ht="17.4" spans="1:1">
      <c r="A1" s="228" t="s">
        <v>249</v>
      </c>
    </row>
    <row r="2" ht="24" spans="1:10">
      <c r="A2" s="229" t="s">
        <v>250</v>
      </c>
      <c r="B2" s="229"/>
      <c r="C2" s="229"/>
      <c r="D2" s="229"/>
      <c r="E2" s="229"/>
      <c r="F2" s="229"/>
      <c r="G2" s="229"/>
      <c r="H2" s="229"/>
      <c r="I2" s="229"/>
      <c r="J2" s="229"/>
    </row>
    <row r="3" ht="17.4" spans="1:10">
      <c r="A3" s="230"/>
      <c r="B3" s="230"/>
      <c r="C3" s="230"/>
      <c r="D3" s="230"/>
      <c r="E3" s="230"/>
      <c r="F3" s="230"/>
      <c r="G3" s="230"/>
      <c r="H3" s="231" t="s">
        <v>251</v>
      </c>
      <c r="I3" s="231"/>
      <c r="J3" s="231"/>
    </row>
    <row r="4" ht="62.4" spans="1:18">
      <c r="A4" s="232" t="s">
        <v>4</v>
      </c>
      <c r="B4" s="232"/>
      <c r="C4" s="233" t="s">
        <v>252</v>
      </c>
      <c r="D4" s="234" t="s">
        <v>253</v>
      </c>
      <c r="E4" s="234"/>
      <c r="F4" s="234" t="s">
        <v>254</v>
      </c>
      <c r="G4" s="234"/>
      <c r="H4" s="234" t="s">
        <v>255</v>
      </c>
      <c r="I4" s="234"/>
      <c r="J4" s="234" t="s">
        <v>256</v>
      </c>
      <c r="K4" s="248" t="s">
        <v>257</v>
      </c>
      <c r="L4" s="249"/>
      <c r="M4" s="249"/>
      <c r="N4" s="249"/>
      <c r="O4" s="249"/>
      <c r="P4" s="249"/>
      <c r="Q4" s="249"/>
      <c r="R4" s="249"/>
    </row>
    <row r="5" ht="31.2" spans="1:11">
      <c r="A5" s="232"/>
      <c r="B5" s="232"/>
      <c r="C5" s="233"/>
      <c r="D5" s="234" t="s">
        <v>258</v>
      </c>
      <c r="E5" s="233" t="s">
        <v>259</v>
      </c>
      <c r="F5" s="234" t="s">
        <v>258</v>
      </c>
      <c r="G5" s="233" t="s">
        <v>259</v>
      </c>
      <c r="H5" s="234" t="s">
        <v>258</v>
      </c>
      <c r="I5" s="250" t="s">
        <v>259</v>
      </c>
      <c r="J5" s="250" t="s">
        <v>259</v>
      </c>
      <c r="K5" s="251" t="s">
        <v>260</v>
      </c>
    </row>
    <row r="6" ht="27.95" customHeight="1" spans="1:11">
      <c r="A6" s="235" t="s">
        <v>22</v>
      </c>
      <c r="B6" s="235"/>
      <c r="C6" s="236">
        <f>C7+C8+C9</f>
        <v>47.894</v>
      </c>
      <c r="D6" s="237">
        <v>34</v>
      </c>
      <c r="E6" s="238">
        <v>1.7</v>
      </c>
      <c r="F6" s="237">
        <v>1146</v>
      </c>
      <c r="G6" s="238">
        <v>4.58</v>
      </c>
      <c r="H6" s="239">
        <v>377</v>
      </c>
      <c r="I6" s="238">
        <v>1.51</v>
      </c>
      <c r="J6" s="238">
        <v>33</v>
      </c>
      <c r="K6" s="252">
        <v>7</v>
      </c>
    </row>
    <row r="7" ht="24.95" customHeight="1" spans="1:11">
      <c r="A7" s="240" t="s">
        <v>261</v>
      </c>
      <c r="B7" s="241"/>
      <c r="C7" s="236">
        <f>J7+K7</f>
        <v>40</v>
      </c>
      <c r="D7" s="237"/>
      <c r="E7" s="238"/>
      <c r="F7" s="237"/>
      <c r="G7" s="238"/>
      <c r="H7" s="239"/>
      <c r="I7" s="238"/>
      <c r="J7" s="253">
        <v>33</v>
      </c>
      <c r="K7" s="252">
        <v>7</v>
      </c>
    </row>
    <row r="8" ht="36" customHeight="1" spans="1:11">
      <c r="A8" s="242" t="s">
        <v>32</v>
      </c>
      <c r="B8" s="243" t="s">
        <v>262</v>
      </c>
      <c r="C8" s="236">
        <f>E8+G8+I8+J8</f>
        <v>3.77</v>
      </c>
      <c r="D8" s="244">
        <v>17</v>
      </c>
      <c r="E8" s="245">
        <v>0.85</v>
      </c>
      <c r="F8" s="244">
        <v>550</v>
      </c>
      <c r="G8" s="221">
        <v>2.2</v>
      </c>
      <c r="H8" s="240">
        <v>180</v>
      </c>
      <c r="I8" s="221">
        <v>0.72</v>
      </c>
      <c r="J8" s="252">
        <v>0</v>
      </c>
      <c r="K8" s="252">
        <v>0</v>
      </c>
    </row>
    <row r="9" ht="51.95" customHeight="1" spans="1:11">
      <c r="A9" s="242" t="s">
        <v>33</v>
      </c>
      <c r="B9" s="243" t="s">
        <v>104</v>
      </c>
      <c r="C9" s="236">
        <f>E9+G9+I9+J9</f>
        <v>4.124</v>
      </c>
      <c r="D9" s="244">
        <v>17</v>
      </c>
      <c r="E9" s="245">
        <v>0.85</v>
      </c>
      <c r="F9" s="244">
        <v>621</v>
      </c>
      <c r="G9" s="221">
        <f>F9*40/10000</f>
        <v>2.484</v>
      </c>
      <c r="H9" s="246">
        <v>197</v>
      </c>
      <c r="I9" s="254">
        <f>I6-I8</f>
        <v>0.79</v>
      </c>
      <c r="J9" s="252">
        <v>0</v>
      </c>
      <c r="K9" s="252">
        <v>0</v>
      </c>
    </row>
    <row r="10" spans="1:10">
      <c r="A10" s="247" t="s">
        <v>263</v>
      </c>
      <c r="B10" s="247"/>
      <c r="C10" s="247"/>
      <c r="D10" s="247"/>
      <c r="E10" s="247"/>
      <c r="F10" s="247"/>
      <c r="G10" s="247"/>
      <c r="H10" s="247"/>
      <c r="I10" s="247"/>
      <c r="J10" s="247"/>
    </row>
    <row r="11" spans="1:10">
      <c r="A11" s="247"/>
      <c r="B11" s="247"/>
      <c r="C11" s="247"/>
      <c r="D11" s="247"/>
      <c r="E11" s="247"/>
      <c r="F11" s="247"/>
      <c r="G11" s="247"/>
      <c r="H11" s="247"/>
      <c r="I11" s="247"/>
      <c r="J11" s="247"/>
    </row>
    <row r="12" spans="1:10">
      <c r="A12" s="247"/>
      <c r="B12" s="247"/>
      <c r="C12" s="247"/>
      <c r="D12" s="247"/>
      <c r="E12" s="247"/>
      <c r="F12" s="247"/>
      <c r="G12" s="247"/>
      <c r="H12" s="247"/>
      <c r="I12" s="247"/>
      <c r="J12" s="247"/>
    </row>
    <row r="13" ht="113.1" customHeight="1" spans="1:10">
      <c r="A13" s="247"/>
      <c r="B13" s="247"/>
      <c r="C13" s="247"/>
      <c r="D13" s="247"/>
      <c r="E13" s="247"/>
      <c r="F13" s="247"/>
      <c r="G13" s="247"/>
      <c r="H13" s="247"/>
      <c r="I13" s="247"/>
      <c r="J13" s="247"/>
    </row>
  </sheetData>
  <mergeCells count="11">
    <mergeCell ref="A2:J2"/>
    <mergeCell ref="H3:J3"/>
    <mergeCell ref="D4:E4"/>
    <mergeCell ref="F4:G4"/>
    <mergeCell ref="H4:I4"/>
    <mergeCell ref="L4:R4"/>
    <mergeCell ref="A6:B6"/>
    <mergeCell ref="A7:B7"/>
    <mergeCell ref="C4:C5"/>
    <mergeCell ref="A10:J13"/>
    <mergeCell ref="A4:B5"/>
  </mergeCells>
  <printOptions horizontalCentered="1"/>
  <pageMargins left="0.747916666666667" right="0.747916666666667" top="0.984027777777778" bottom="0.590277777777778" header="0.511805555555556" footer="0.511805555555556"/>
  <pageSetup paperSize="9" scale="90"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R12"/>
  <sheetViews>
    <sheetView tabSelected="1" zoomScale="85" zoomScaleNormal="85" topLeftCell="A4" workbookViewId="0">
      <selection activeCell="Q6" sqref="Q6"/>
    </sheetView>
  </sheetViews>
  <sheetFormatPr defaultColWidth="9" defaultRowHeight="14.4"/>
  <cols>
    <col min="1" max="1" width="26.25" style="82" customWidth="1"/>
    <col min="2" max="2" width="11.625" style="82" customWidth="1"/>
    <col min="3" max="3" width="12.75" style="82" customWidth="1"/>
    <col min="4" max="4" width="17.5" style="82" customWidth="1"/>
    <col min="5" max="5" width="12.25" style="82" customWidth="1"/>
    <col min="6" max="6" width="12.125" style="82" customWidth="1"/>
    <col min="7" max="7" width="11.75" style="82" customWidth="1"/>
    <col min="8" max="8" width="12.375" style="82" customWidth="1"/>
    <col min="9" max="9" width="15" style="82" customWidth="1"/>
    <col min="10" max="10" width="16.125" style="82" customWidth="1"/>
    <col min="11" max="11" width="11.25" style="82" customWidth="1"/>
    <col min="12" max="12" width="11.375" style="82" customWidth="1"/>
    <col min="13" max="13" width="9" style="82"/>
    <col min="14" max="14" width="9.875" style="82" customWidth="1"/>
    <col min="15" max="15" width="13.375" style="82" customWidth="1"/>
    <col min="16" max="16384" width="9" style="82"/>
  </cols>
  <sheetData>
    <row r="1" ht="30" customHeight="1" spans="1:12">
      <c r="A1" s="193" t="s">
        <v>264</v>
      </c>
      <c r="B1" s="194"/>
      <c r="C1" s="194"/>
      <c r="D1" s="194"/>
      <c r="E1" s="194"/>
      <c r="F1" s="194"/>
      <c r="G1" s="194"/>
      <c r="H1" s="194"/>
      <c r="I1" s="194"/>
      <c r="J1" s="194"/>
      <c r="K1" s="194"/>
      <c r="L1" s="194"/>
    </row>
    <row r="2" ht="30" customHeight="1" spans="1:12">
      <c r="A2" s="195" t="s">
        <v>265</v>
      </c>
      <c r="B2" s="195"/>
      <c r="C2" s="195"/>
      <c r="D2" s="195"/>
      <c r="E2" s="195"/>
      <c r="F2" s="195"/>
      <c r="G2" s="195"/>
      <c r="H2" s="195"/>
      <c r="I2" s="195"/>
      <c r="J2" s="195"/>
      <c r="K2" s="195"/>
      <c r="L2" s="195"/>
    </row>
    <row r="3" ht="30" customHeight="1" spans="1:15">
      <c r="A3" s="196" t="s">
        <v>3</v>
      </c>
      <c r="B3" s="196"/>
      <c r="C3" s="196"/>
      <c r="D3" s="196"/>
      <c r="E3" s="196"/>
      <c r="F3" s="196"/>
      <c r="G3" s="196"/>
      <c r="H3" s="196"/>
      <c r="I3" s="196"/>
      <c r="J3" s="196"/>
      <c r="K3" s="196"/>
      <c r="L3" s="196"/>
      <c r="M3" s="211"/>
      <c r="N3" s="212"/>
      <c r="O3" s="212"/>
    </row>
    <row r="4" ht="33.95" customHeight="1" spans="1:18">
      <c r="A4" s="197" t="s">
        <v>266</v>
      </c>
      <c r="B4" s="197" t="s">
        <v>5</v>
      </c>
      <c r="C4" s="198" t="s">
        <v>267</v>
      </c>
      <c r="D4" s="199"/>
      <c r="E4" s="198" t="s">
        <v>268</v>
      </c>
      <c r="F4" s="199"/>
      <c r="G4" s="199"/>
      <c r="H4" s="199"/>
      <c r="I4" s="199"/>
      <c r="J4" s="199"/>
      <c r="K4" s="199"/>
      <c r="L4" s="213"/>
      <c r="M4" s="214" t="s">
        <v>269</v>
      </c>
      <c r="N4" s="214"/>
      <c r="O4" s="214"/>
      <c r="P4" s="215"/>
      <c r="Q4" s="215"/>
      <c r="R4" s="215"/>
    </row>
    <row r="5" ht="75" customHeight="1" spans="1:15">
      <c r="A5" s="200"/>
      <c r="B5" s="200"/>
      <c r="C5" s="201" t="s">
        <v>270</v>
      </c>
      <c r="D5" s="202" t="s">
        <v>43</v>
      </c>
      <c r="E5" s="201" t="s">
        <v>271</v>
      </c>
      <c r="F5" s="201" t="s">
        <v>272</v>
      </c>
      <c r="G5" s="202" t="s">
        <v>43</v>
      </c>
      <c r="H5" s="201" t="s">
        <v>273</v>
      </c>
      <c r="I5" s="201" t="s">
        <v>274</v>
      </c>
      <c r="J5" s="202" t="s">
        <v>43</v>
      </c>
      <c r="K5" s="201" t="s">
        <v>275</v>
      </c>
      <c r="L5" s="202" t="s">
        <v>43</v>
      </c>
      <c r="M5" s="201" t="s">
        <v>230</v>
      </c>
      <c r="N5" s="201" t="s">
        <v>276</v>
      </c>
      <c r="O5" s="201" t="s">
        <v>43</v>
      </c>
    </row>
    <row r="6" ht="54.95" customHeight="1" spans="1:15">
      <c r="A6" s="203" t="s">
        <v>22</v>
      </c>
      <c r="B6" s="203">
        <f>D6+G6+J6+L6+O6</f>
        <v>21.48</v>
      </c>
      <c r="C6" s="203">
        <v>4</v>
      </c>
      <c r="D6" s="203">
        <f>D7+D7</f>
        <v>2.98</v>
      </c>
      <c r="E6" s="203">
        <v>1</v>
      </c>
      <c r="F6" s="203">
        <v>3000</v>
      </c>
      <c r="G6" s="204">
        <v>6</v>
      </c>
      <c r="H6" s="203">
        <v>1</v>
      </c>
      <c r="I6" s="203">
        <v>1000</v>
      </c>
      <c r="J6" s="204">
        <v>6.5</v>
      </c>
      <c r="K6" s="203">
        <v>1</v>
      </c>
      <c r="L6" s="204">
        <v>5</v>
      </c>
      <c r="M6" s="216"/>
      <c r="N6" s="217"/>
      <c r="O6" s="218">
        <v>1</v>
      </c>
    </row>
    <row r="7" ht="54" customHeight="1" spans="1:15">
      <c r="A7" s="205" t="s">
        <v>27</v>
      </c>
      <c r="B7" s="206">
        <f>D7+G7+J7+L7</f>
        <v>13.99</v>
      </c>
      <c r="C7" s="205">
        <v>2</v>
      </c>
      <c r="D7" s="206">
        <v>1.49</v>
      </c>
      <c r="E7" s="205">
        <v>1</v>
      </c>
      <c r="F7" s="205">
        <v>3000</v>
      </c>
      <c r="G7" s="206">
        <v>6</v>
      </c>
      <c r="H7" s="205"/>
      <c r="I7" s="205"/>
      <c r="J7" s="206">
        <v>1.5</v>
      </c>
      <c r="K7" s="205">
        <v>1</v>
      </c>
      <c r="L7" s="206">
        <v>5</v>
      </c>
      <c r="M7" s="219"/>
      <c r="N7" s="220"/>
      <c r="O7" s="221"/>
    </row>
    <row r="8" ht="45" customHeight="1" spans="1:15">
      <c r="A8" s="207" t="s">
        <v>104</v>
      </c>
      <c r="B8" s="207">
        <f>D8+J8</f>
        <v>6.49</v>
      </c>
      <c r="C8" s="207">
        <v>2</v>
      </c>
      <c r="D8" s="207">
        <v>1.49</v>
      </c>
      <c r="E8" s="207"/>
      <c r="F8" s="207"/>
      <c r="G8" s="207"/>
      <c r="H8" s="207">
        <v>1</v>
      </c>
      <c r="I8" s="207">
        <v>1000</v>
      </c>
      <c r="J8" s="208">
        <v>5</v>
      </c>
      <c r="K8" s="207"/>
      <c r="L8" s="207"/>
      <c r="M8" s="222"/>
      <c r="N8" s="222"/>
      <c r="O8" s="222"/>
    </row>
    <row r="9" ht="45" customHeight="1" spans="1:15">
      <c r="A9" s="207" t="s">
        <v>277</v>
      </c>
      <c r="B9" s="208">
        <v>1</v>
      </c>
      <c r="C9" s="207"/>
      <c r="D9" s="207"/>
      <c r="E9" s="207"/>
      <c r="F9" s="207"/>
      <c r="G9" s="207"/>
      <c r="H9" s="207"/>
      <c r="I9" s="207"/>
      <c r="J9" s="208"/>
      <c r="K9" s="207"/>
      <c r="L9" s="207"/>
      <c r="M9" s="207">
        <v>502</v>
      </c>
      <c r="N9" s="223">
        <v>0.00199</v>
      </c>
      <c r="O9" s="224">
        <v>1</v>
      </c>
    </row>
    <row r="10" ht="30" customHeight="1" spans="1:16">
      <c r="A10" s="209" t="s">
        <v>278</v>
      </c>
      <c r="B10" s="210"/>
      <c r="C10" s="210"/>
      <c r="D10" s="210"/>
      <c r="E10" s="210"/>
      <c r="F10" s="210"/>
      <c r="G10" s="210"/>
      <c r="H10" s="210"/>
      <c r="I10" s="210"/>
      <c r="J10" s="210"/>
      <c r="K10" s="210"/>
      <c r="L10" s="210"/>
      <c r="M10" s="225"/>
      <c r="N10" s="226"/>
      <c r="O10" s="225"/>
      <c r="P10" s="158"/>
    </row>
    <row r="11" ht="36" customHeight="1" spans="1:15">
      <c r="A11" s="210"/>
      <c r="B11" s="210"/>
      <c r="C11" s="210"/>
      <c r="D11" s="210"/>
      <c r="E11" s="210"/>
      <c r="F11" s="210"/>
      <c r="G11" s="210"/>
      <c r="H11" s="210"/>
      <c r="I11" s="210"/>
      <c r="J11" s="210"/>
      <c r="K11" s="210"/>
      <c r="L11" s="210"/>
      <c r="M11" s="225"/>
      <c r="N11" s="226"/>
      <c r="O11" s="225"/>
    </row>
    <row r="12" ht="54" customHeight="1" spans="1:15">
      <c r="A12" s="210"/>
      <c r="B12" s="210"/>
      <c r="C12" s="210"/>
      <c r="D12" s="210"/>
      <c r="E12" s="210"/>
      <c r="F12" s="210"/>
      <c r="G12" s="210"/>
      <c r="H12" s="210"/>
      <c r="I12" s="210"/>
      <c r="J12" s="210"/>
      <c r="K12" s="210"/>
      <c r="L12" s="210"/>
      <c r="M12" s="227"/>
      <c r="N12" s="226"/>
      <c r="O12" s="227"/>
    </row>
  </sheetData>
  <mergeCells count="9">
    <mergeCell ref="A2:L2"/>
    <mergeCell ref="A3:L3"/>
    <mergeCell ref="M3:O3"/>
    <mergeCell ref="C4:D4"/>
    <mergeCell ref="E4:L4"/>
    <mergeCell ref="M4:O4"/>
    <mergeCell ref="A4:A5"/>
    <mergeCell ref="B4:B5"/>
    <mergeCell ref="A10:L12"/>
  </mergeCells>
  <pageMargins left="0.75" right="0.75" top="1" bottom="1" header="0.5" footer="0.5"/>
  <pageSetup paperSize="9" scale="6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M18"/>
  <sheetViews>
    <sheetView zoomScale="70" zoomScaleNormal="70" workbookViewId="0">
      <selection activeCell="E18" sqref="E18"/>
    </sheetView>
  </sheetViews>
  <sheetFormatPr defaultColWidth="6.875" defaultRowHeight="15.6"/>
  <cols>
    <col min="1" max="6" width="32" style="178" customWidth="1"/>
    <col min="7" max="7" width="24.625" style="178" customWidth="1"/>
    <col min="8" max="10" width="32" style="178" customWidth="1"/>
    <col min="11" max="241" width="6.875" style="178"/>
  </cols>
  <sheetData>
    <row r="1" s="176" customFormat="1" ht="30" customHeight="1" spans="1:2">
      <c r="A1" s="179" t="s">
        <v>279</v>
      </c>
      <c r="B1" s="179"/>
    </row>
    <row r="2" s="176" customFormat="1" ht="30" customHeight="1" spans="1:10">
      <c r="A2" s="180" t="s">
        <v>280</v>
      </c>
      <c r="B2" s="180"/>
      <c r="C2" s="180"/>
      <c r="D2" s="180"/>
      <c r="E2" s="180"/>
      <c r="F2" s="180"/>
      <c r="G2" s="180"/>
      <c r="H2" s="180"/>
      <c r="I2" s="180"/>
      <c r="J2" s="180"/>
    </row>
    <row r="3" s="176" customFormat="1" ht="30" customHeight="1" spans="1:10">
      <c r="A3" s="177"/>
      <c r="B3" s="177"/>
      <c r="C3" s="177"/>
      <c r="D3" s="177"/>
      <c r="E3" s="177"/>
      <c r="F3" s="181"/>
      <c r="G3" s="181"/>
      <c r="H3" s="182"/>
      <c r="I3" s="182"/>
      <c r="J3" s="182"/>
    </row>
    <row r="4" s="177" customFormat="1" ht="120" customHeight="1" spans="1:10">
      <c r="A4" s="183" t="s">
        <v>4</v>
      </c>
      <c r="B4" s="183" t="s">
        <v>15</v>
      </c>
      <c r="C4" s="184" t="s">
        <v>16</v>
      </c>
      <c r="D4" s="184" t="s">
        <v>17</v>
      </c>
      <c r="E4" s="185" t="s">
        <v>281</v>
      </c>
      <c r="F4" s="185" t="s">
        <v>19</v>
      </c>
      <c r="G4" s="185" t="s">
        <v>282</v>
      </c>
      <c r="H4" s="185" t="s">
        <v>283</v>
      </c>
      <c r="I4" s="185" t="s">
        <v>284</v>
      </c>
      <c r="J4" s="192" t="s">
        <v>5</v>
      </c>
    </row>
    <row r="5" s="178" customFormat="1" ht="30.95" customHeight="1" spans="1:10">
      <c r="A5" s="186" t="s">
        <v>285</v>
      </c>
      <c r="B5" s="187">
        <f>+B6+B13+B14</f>
        <v>10</v>
      </c>
      <c r="C5" s="187">
        <f t="shared" ref="C5:H5" si="0">+C6+C13+C14</f>
        <v>13.6</v>
      </c>
      <c r="D5" s="187">
        <f t="shared" si="0"/>
        <v>10</v>
      </c>
      <c r="E5" s="187">
        <f t="shared" si="0"/>
        <v>190.05</v>
      </c>
      <c r="F5" s="187">
        <f t="shared" si="0"/>
        <v>2.34</v>
      </c>
      <c r="G5" s="187">
        <f t="shared" si="0"/>
        <v>0.94</v>
      </c>
      <c r="H5" s="187">
        <f t="shared" si="0"/>
        <v>11.79</v>
      </c>
      <c r="I5" s="187">
        <v>23.26</v>
      </c>
      <c r="J5" s="187">
        <f>SUM(B5:I5)</f>
        <v>261.98</v>
      </c>
    </row>
    <row r="6" s="178" customFormat="1" ht="30.95" customHeight="1" spans="1:10">
      <c r="A6" s="49" t="s">
        <v>23</v>
      </c>
      <c r="B6" s="188">
        <f>+B7+B8+B9+B10+B11+B12</f>
        <v>10</v>
      </c>
      <c r="C6" s="188">
        <f t="shared" ref="C6:I6" si="1">+C7+C8+C9+C10+C11+C12</f>
        <v>11.6</v>
      </c>
      <c r="D6" s="188">
        <f t="shared" si="1"/>
        <v>10</v>
      </c>
      <c r="E6" s="188">
        <f t="shared" si="1"/>
        <v>168.31</v>
      </c>
      <c r="F6" s="188">
        <f t="shared" si="1"/>
        <v>1.06</v>
      </c>
      <c r="G6" s="188">
        <f t="shared" si="1"/>
        <v>0</v>
      </c>
      <c r="H6" s="188">
        <f t="shared" si="1"/>
        <v>6.75</v>
      </c>
      <c r="I6" s="188">
        <f t="shared" si="1"/>
        <v>7.26</v>
      </c>
      <c r="J6" s="187">
        <f t="shared" ref="J6:J14" si="2">SUM(B6:I6)</f>
        <v>214.98</v>
      </c>
    </row>
    <row r="7" s="178" customFormat="1" ht="30.95" customHeight="1" spans="1:10">
      <c r="A7" s="52" t="s">
        <v>24</v>
      </c>
      <c r="B7" s="189"/>
      <c r="C7" s="190"/>
      <c r="D7" s="190"/>
      <c r="E7" s="190">
        <v>2.54</v>
      </c>
      <c r="F7" s="190"/>
      <c r="G7" s="190"/>
      <c r="H7" s="190"/>
      <c r="I7" s="190">
        <v>2</v>
      </c>
      <c r="J7" s="187">
        <f t="shared" si="2"/>
        <v>4.54</v>
      </c>
    </row>
    <row r="8" s="178" customFormat="1" ht="30.95" customHeight="1" spans="1:10">
      <c r="A8" s="52" t="s">
        <v>25</v>
      </c>
      <c r="B8" s="189"/>
      <c r="C8" s="190"/>
      <c r="D8" s="190"/>
      <c r="E8" s="190">
        <v>0</v>
      </c>
      <c r="F8" s="190"/>
      <c r="G8" s="190"/>
      <c r="H8" s="190"/>
      <c r="I8" s="190">
        <v>1.5</v>
      </c>
      <c r="J8" s="187">
        <f t="shared" si="2"/>
        <v>1.5</v>
      </c>
    </row>
    <row r="9" s="178" customFormat="1" ht="30.95" customHeight="1" spans="1:10">
      <c r="A9" s="52" t="s">
        <v>26</v>
      </c>
      <c r="B9" s="189"/>
      <c r="C9" s="190"/>
      <c r="D9" s="190"/>
      <c r="E9" s="190">
        <v>2.54</v>
      </c>
      <c r="F9" s="190"/>
      <c r="G9" s="190"/>
      <c r="H9" s="190"/>
      <c r="I9" s="190">
        <v>0.5</v>
      </c>
      <c r="J9" s="187">
        <f t="shared" si="2"/>
        <v>3.04</v>
      </c>
    </row>
    <row r="10" s="178" customFormat="1" ht="30.95" customHeight="1" spans="1:10">
      <c r="A10" s="52" t="s">
        <v>28</v>
      </c>
      <c r="B10" s="189"/>
      <c r="C10" s="190"/>
      <c r="D10" s="190"/>
      <c r="E10" s="190"/>
      <c r="F10" s="190">
        <v>1.06</v>
      </c>
      <c r="G10" s="190"/>
      <c r="H10" s="190"/>
      <c r="I10" s="190"/>
      <c r="J10" s="187">
        <f t="shared" si="2"/>
        <v>1.06</v>
      </c>
    </row>
    <row r="11" s="178" customFormat="1" ht="30.95" customHeight="1" spans="1:10">
      <c r="A11" s="52" t="s">
        <v>27</v>
      </c>
      <c r="B11" s="189"/>
      <c r="C11" s="190">
        <v>11.6</v>
      </c>
      <c r="D11" s="190"/>
      <c r="E11" s="190">
        <v>163.23</v>
      </c>
      <c r="F11" s="190"/>
      <c r="G11" s="190"/>
      <c r="H11" s="190">
        <v>6.75</v>
      </c>
      <c r="I11" s="190">
        <v>3.26</v>
      </c>
      <c r="J11" s="187">
        <f t="shared" si="2"/>
        <v>184.84</v>
      </c>
    </row>
    <row r="12" s="178" customFormat="1" ht="30.95" customHeight="1" spans="1:10">
      <c r="A12" s="52" t="s">
        <v>31</v>
      </c>
      <c r="B12" s="189">
        <v>10</v>
      </c>
      <c r="C12" s="190"/>
      <c r="D12" s="190">
        <v>10</v>
      </c>
      <c r="E12" s="190"/>
      <c r="F12" s="190"/>
      <c r="G12" s="190"/>
      <c r="H12" s="190"/>
      <c r="I12" s="190"/>
      <c r="J12" s="187">
        <f t="shared" si="2"/>
        <v>20</v>
      </c>
    </row>
    <row r="13" s="178" customFormat="1" ht="30.95" customHeight="1" spans="1:10">
      <c r="A13" s="49" t="s">
        <v>32</v>
      </c>
      <c r="B13" s="188"/>
      <c r="C13" s="187">
        <v>1</v>
      </c>
      <c r="D13" s="187"/>
      <c r="E13" s="187">
        <v>10.87</v>
      </c>
      <c r="F13" s="187"/>
      <c r="G13" s="187">
        <v>0.47</v>
      </c>
      <c r="H13" s="187">
        <v>0</v>
      </c>
      <c r="I13" s="187">
        <v>8</v>
      </c>
      <c r="J13" s="187">
        <f t="shared" si="2"/>
        <v>20.34</v>
      </c>
    </row>
    <row r="14" s="178" customFormat="1" ht="30.95" customHeight="1" spans="1:10">
      <c r="A14" s="49" t="s">
        <v>33</v>
      </c>
      <c r="B14" s="188"/>
      <c r="C14" s="187">
        <v>1</v>
      </c>
      <c r="D14" s="187"/>
      <c r="E14" s="187">
        <v>10.87</v>
      </c>
      <c r="F14" s="187">
        <v>1.28</v>
      </c>
      <c r="G14" s="187">
        <v>0.47</v>
      </c>
      <c r="H14" s="187">
        <v>5.04</v>
      </c>
      <c r="I14" s="187">
        <v>8</v>
      </c>
      <c r="J14" s="187">
        <f t="shared" si="2"/>
        <v>26.66</v>
      </c>
    </row>
    <row r="15" s="178" customFormat="1" ht="132.95" customHeight="1" spans="1:13">
      <c r="A15" s="191"/>
      <c r="B15" s="191"/>
      <c r="C15" s="32"/>
      <c r="D15" s="32"/>
      <c r="E15" s="32"/>
      <c r="F15" s="32"/>
      <c r="G15" s="32"/>
      <c r="H15" s="32"/>
      <c r="I15" s="32"/>
      <c r="J15" s="32"/>
      <c r="K15" s="32"/>
      <c r="L15" s="32"/>
      <c r="M15" s="32"/>
    </row>
    <row r="16" s="178" customFormat="1" ht="30.95" customHeight="1"/>
    <row r="17" s="178" customFormat="1" ht="30.95" customHeight="1"/>
    <row r="18" s="178" customFormat="1" ht="30.95" customHeight="1"/>
  </sheetData>
  <mergeCells count="3">
    <mergeCell ref="A2:J2"/>
    <mergeCell ref="H3:J3"/>
    <mergeCell ref="A15:M15"/>
  </mergeCells>
  <pageMargins left="1.34236111111111" right="0.751388888888889" top="0.802777777777778" bottom="0.802777777777778" header="0.5" footer="0.5"/>
  <pageSetup paperSize="9" scale="7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E8"/>
  <sheetViews>
    <sheetView workbookViewId="0">
      <selection activeCell="H10" sqref="H10"/>
    </sheetView>
  </sheetViews>
  <sheetFormatPr defaultColWidth="8.75" defaultRowHeight="15.6" outlineLevelRow="7" outlineLevelCol="4"/>
  <cols>
    <col min="1" max="1" width="13.75" customWidth="1"/>
    <col min="2" max="2" width="13.5" customWidth="1"/>
    <col min="3" max="3" width="12.375" customWidth="1"/>
    <col min="4" max="4" width="20.25" customWidth="1"/>
    <col min="5" max="5" width="28" customWidth="1"/>
  </cols>
  <sheetData>
    <row r="1" spans="1:4">
      <c r="A1" s="139" t="s">
        <v>286</v>
      </c>
      <c r="B1" s="139"/>
      <c r="C1" s="139"/>
      <c r="D1" s="140"/>
    </row>
    <row r="2" ht="24" spans="1:4">
      <c r="A2" s="141" t="s">
        <v>287</v>
      </c>
      <c r="B2" s="141"/>
      <c r="C2" s="141"/>
      <c r="D2" s="141"/>
    </row>
    <row r="3" spans="1:5">
      <c r="A3" s="142"/>
      <c r="B3" s="142"/>
      <c r="C3" s="142"/>
      <c r="D3" s="143" t="s">
        <v>3</v>
      </c>
      <c r="E3" s="144"/>
    </row>
    <row r="4" ht="17.4" spans="1:4">
      <c r="A4" s="145" t="s">
        <v>4</v>
      </c>
      <c r="B4" s="145" t="s">
        <v>180</v>
      </c>
      <c r="C4" s="145" t="s">
        <v>288</v>
      </c>
      <c r="D4" s="145" t="s">
        <v>43</v>
      </c>
    </row>
    <row r="5" ht="17.4" spans="1:4">
      <c r="A5" s="146" t="s">
        <v>22</v>
      </c>
      <c r="B5" s="147"/>
      <c r="C5" s="148"/>
      <c r="D5" s="65"/>
    </row>
    <row r="6" ht="69.6" spans="1:4">
      <c r="A6" s="174" t="s">
        <v>31</v>
      </c>
      <c r="B6" s="175" t="s">
        <v>289</v>
      </c>
      <c r="C6" s="151">
        <v>15</v>
      </c>
      <c r="D6" s="74">
        <v>10</v>
      </c>
    </row>
    <row r="7" ht="17.4" spans="1:4">
      <c r="A7" s="152" t="s">
        <v>5</v>
      </c>
      <c r="B7" s="153"/>
      <c r="C7" s="154"/>
      <c r="D7" s="74">
        <v>10</v>
      </c>
    </row>
    <row r="8" ht="125.1" customHeight="1" spans="1:4">
      <c r="A8" s="155" t="s">
        <v>290</v>
      </c>
      <c r="B8" s="155"/>
      <c r="C8" s="155"/>
      <c r="D8" s="155"/>
    </row>
  </sheetData>
  <mergeCells count="4">
    <mergeCell ref="A1:B1"/>
    <mergeCell ref="A2:D2"/>
    <mergeCell ref="A7:C7"/>
    <mergeCell ref="A8:D8"/>
  </mergeCells>
  <dataValidations count="1">
    <dataValidation allowBlank="1" showInputMessage="1" showErrorMessage="1" sqref="B5:D5 A6 B6:D6"/>
  </dataValidation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13"/>
  <dimension ref="A1:AG12"/>
  <sheetViews>
    <sheetView zoomScaleSheetLayoutView="55" workbookViewId="0">
      <selection activeCell="C11" sqref="C11"/>
    </sheetView>
  </sheetViews>
  <sheetFormatPr defaultColWidth="9" defaultRowHeight="14.4"/>
  <cols>
    <col min="1" max="1" width="35" style="82" customWidth="1"/>
    <col min="2" max="2" width="27.875" style="82" customWidth="1"/>
    <col min="3" max="3" width="27.875" style="83" customWidth="1"/>
    <col min="4" max="5" width="27.875" style="82" customWidth="1"/>
    <col min="6" max="6" width="27.875" style="83" customWidth="1"/>
    <col min="7" max="7" width="9.625" style="158" customWidth="1"/>
    <col min="8" max="8" width="11.875" style="158" customWidth="1"/>
    <col min="9" max="9" width="9.125" style="83" customWidth="1"/>
    <col min="10" max="11" width="10.25" style="82" customWidth="1"/>
    <col min="12" max="12" width="10" style="82" customWidth="1"/>
    <col min="13" max="13" width="9.375" style="82" customWidth="1"/>
    <col min="14" max="14" width="11.375" style="82" customWidth="1"/>
    <col min="15" max="15" width="10" style="83" customWidth="1"/>
    <col min="16" max="16" width="9.125" style="82" customWidth="1"/>
    <col min="17" max="17" width="13.625" style="82" customWidth="1"/>
    <col min="18" max="18" width="10" style="82" customWidth="1"/>
    <col min="19" max="19" width="9.5" style="82" customWidth="1"/>
    <col min="20" max="20" width="9.5" style="84" customWidth="1"/>
    <col min="21" max="21" width="9.375" style="82" customWidth="1"/>
    <col min="22" max="22" width="11.625" style="82" customWidth="1"/>
    <col min="23" max="23" width="10.25" style="85" customWidth="1"/>
    <col min="24" max="24" width="9.375" style="82" customWidth="1"/>
    <col min="25" max="25" width="11.25" style="82" customWidth="1"/>
    <col min="26" max="26" width="9.75" style="82" customWidth="1"/>
    <col min="27" max="27" width="11.625" style="82" customWidth="1"/>
    <col min="28" max="28" width="9.375" style="82" customWidth="1"/>
    <col min="29" max="29" width="10.5" style="82" customWidth="1"/>
    <col min="30" max="30" width="10" style="82" customWidth="1"/>
    <col min="31" max="31" width="9.875" style="159" customWidth="1"/>
    <col min="32" max="32" width="13.375" style="82" customWidth="1"/>
    <col min="33" max="33" width="11.875" style="82" customWidth="1"/>
    <col min="34" max="16384" width="9" style="82"/>
  </cols>
  <sheetData>
    <row r="1" ht="30" customHeight="1" spans="1:6">
      <c r="A1" s="160" t="s">
        <v>291</v>
      </c>
      <c r="B1" s="160"/>
      <c r="C1" s="160"/>
      <c r="F1" s="161"/>
    </row>
    <row r="2" ht="36" customHeight="1" spans="1:33">
      <c r="A2" s="162" t="s">
        <v>292</v>
      </c>
      <c r="B2" s="162"/>
      <c r="C2" s="162"/>
      <c r="D2" s="162"/>
      <c r="E2" s="162"/>
      <c r="F2" s="162"/>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row>
    <row r="3" s="156" customFormat="1" ht="21" customHeight="1" spans="1:6">
      <c r="A3" s="164"/>
      <c r="B3" s="164"/>
      <c r="C3" s="164"/>
      <c r="D3" s="164"/>
      <c r="E3" s="164"/>
      <c r="F3" s="165" t="s">
        <v>3</v>
      </c>
    </row>
    <row r="4" s="156" customFormat="1" ht="41.1" customHeight="1" spans="1:6">
      <c r="A4" s="166" t="s">
        <v>4</v>
      </c>
      <c r="B4" s="166" t="s">
        <v>180</v>
      </c>
      <c r="C4" s="166" t="s">
        <v>288</v>
      </c>
      <c r="D4" s="166" t="s">
        <v>43</v>
      </c>
      <c r="E4" s="166" t="s">
        <v>293</v>
      </c>
      <c r="F4" s="166" t="s">
        <v>294</v>
      </c>
    </row>
    <row r="5" s="157" customFormat="1" ht="39.95" customHeight="1" spans="1:6">
      <c r="A5" s="72" t="s">
        <v>22</v>
      </c>
      <c r="B5" s="167"/>
      <c r="C5" s="64">
        <v>5</v>
      </c>
      <c r="D5" s="65">
        <v>13.6</v>
      </c>
      <c r="E5" s="168"/>
      <c r="F5" s="167"/>
    </row>
    <row r="6" s="156" customFormat="1" ht="59.1" customHeight="1" spans="1:6">
      <c r="A6" s="73" t="s">
        <v>27</v>
      </c>
      <c r="B6" s="169" t="s">
        <v>295</v>
      </c>
      <c r="C6" s="73"/>
      <c r="D6" s="74">
        <v>11.6</v>
      </c>
      <c r="E6" s="170" t="s">
        <v>296</v>
      </c>
      <c r="F6" s="171" t="s">
        <v>297</v>
      </c>
    </row>
    <row r="7" s="156" customFormat="1" ht="39.95" customHeight="1" spans="1:6">
      <c r="A7" s="64" t="s">
        <v>298</v>
      </c>
      <c r="B7" s="169" t="s">
        <v>299</v>
      </c>
      <c r="C7" s="73">
        <v>1</v>
      </c>
      <c r="D7" s="74">
        <v>1</v>
      </c>
      <c r="E7" s="170" t="s">
        <v>300</v>
      </c>
      <c r="F7" s="172" t="s">
        <v>301</v>
      </c>
    </row>
    <row r="8" s="156" customFormat="1" ht="39.95" customHeight="1" spans="1:6">
      <c r="A8" s="64" t="s">
        <v>302</v>
      </c>
      <c r="B8" s="169" t="s">
        <v>299</v>
      </c>
      <c r="C8" s="73">
        <v>1</v>
      </c>
      <c r="D8" s="74">
        <v>1</v>
      </c>
      <c r="E8" s="170" t="s">
        <v>300</v>
      </c>
      <c r="F8" s="172"/>
    </row>
    <row r="9" s="156" customFormat="1" ht="39.95" customHeight="1" spans="1:6">
      <c r="A9" s="173" t="s">
        <v>303</v>
      </c>
      <c r="B9" s="173"/>
      <c r="C9" s="173"/>
      <c r="D9" s="173"/>
      <c r="E9" s="173"/>
      <c r="F9" s="173"/>
    </row>
    <row r="10" s="156" customFormat="1" ht="39.95" customHeight="1"/>
    <row r="11" s="156" customFormat="1" ht="39.95" customHeight="1"/>
    <row r="12" s="156" customFormat="1" ht="38.1" customHeight="1"/>
  </sheetData>
  <mergeCells count="4">
    <mergeCell ref="A1:B1"/>
    <mergeCell ref="A2:F2"/>
    <mergeCell ref="A9:F9"/>
    <mergeCell ref="F7:F8"/>
  </mergeCells>
  <dataValidations count="1">
    <dataValidation allowBlank="1" showInputMessage="1" showErrorMessage="1" sqref="B5 C5 D5:E5 A6:B6 C6 D6:E6 B7 D7:E7 F7 B8 D8 E8 F8 C7:C8 F5:F6"/>
  </dataValidations>
  <pageMargins left="0.554861111111111" right="0.554861111111111" top="0.802777777777778" bottom="0.60625" header="0.5" footer="0.5"/>
  <pageSetup paperSize="9" scale="98"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E8"/>
  <sheetViews>
    <sheetView workbookViewId="0">
      <selection activeCell="E6" sqref="E6"/>
    </sheetView>
  </sheetViews>
  <sheetFormatPr defaultColWidth="8.75" defaultRowHeight="15.6" outlineLevelRow="7" outlineLevelCol="4"/>
  <cols>
    <col min="1" max="1" width="13.125" customWidth="1"/>
    <col min="2" max="2" width="22.5" customWidth="1"/>
    <col min="3" max="3" width="16.375" customWidth="1"/>
    <col min="4" max="4" width="22" customWidth="1"/>
    <col min="5" max="5" width="21.25" customWidth="1"/>
  </cols>
  <sheetData>
    <row r="1" spans="1:4">
      <c r="A1" s="139" t="s">
        <v>304</v>
      </c>
      <c r="B1" s="139"/>
      <c r="C1" s="139"/>
      <c r="D1" s="140"/>
    </row>
    <row r="2" ht="56.1" customHeight="1" spans="1:4">
      <c r="A2" s="141" t="s">
        <v>305</v>
      </c>
      <c r="B2" s="141"/>
      <c r="C2" s="141"/>
      <c r="D2" s="141"/>
    </row>
    <row r="3" spans="1:5">
      <c r="A3" s="142"/>
      <c r="B3" s="142"/>
      <c r="C3" s="142"/>
      <c r="D3" s="143" t="s">
        <v>3</v>
      </c>
      <c r="E3" s="144"/>
    </row>
    <row r="4" ht="17.4" spans="1:4">
      <c r="A4" s="145" t="s">
        <v>4</v>
      </c>
      <c r="B4" s="145" t="s">
        <v>180</v>
      </c>
      <c r="C4" s="145" t="s">
        <v>288</v>
      </c>
      <c r="D4" s="145" t="s">
        <v>43</v>
      </c>
    </row>
    <row r="5" ht="27" customHeight="1" spans="1:4">
      <c r="A5" s="146" t="s">
        <v>22</v>
      </c>
      <c r="B5" s="147"/>
      <c r="C5" s="148"/>
      <c r="D5" s="65"/>
    </row>
    <row r="6" ht="31.2" spans="1:4">
      <c r="A6" s="149" t="s">
        <v>31</v>
      </c>
      <c r="B6" s="150" t="s">
        <v>306</v>
      </c>
      <c r="C6" s="151">
        <v>15</v>
      </c>
      <c r="D6" s="74">
        <v>10</v>
      </c>
    </row>
    <row r="7" ht="17.4" spans="1:4">
      <c r="A7" s="152" t="s">
        <v>5</v>
      </c>
      <c r="B7" s="153"/>
      <c r="C7" s="154"/>
      <c r="D7" s="74">
        <v>10</v>
      </c>
    </row>
    <row r="8" ht="129" customHeight="1" spans="1:4">
      <c r="A8" s="155" t="s">
        <v>307</v>
      </c>
      <c r="B8" s="155"/>
      <c r="C8" s="155"/>
      <c r="D8" s="155"/>
    </row>
  </sheetData>
  <mergeCells count="4">
    <mergeCell ref="A1:B1"/>
    <mergeCell ref="A2:D2"/>
    <mergeCell ref="A7:C7"/>
    <mergeCell ref="A8:D8"/>
  </mergeCells>
  <dataValidations count="1">
    <dataValidation allowBlank="1" showInputMessage="1" showErrorMessage="1" sqref="B5:D5 A6 B6:D6"/>
  </dataValidations>
  <pageMargins left="0.751388888888889" right="0.751388888888889"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14"/>
  <dimension ref="A1:BQ14"/>
  <sheetViews>
    <sheetView view="pageBreakPreview" zoomScale="40" zoomScaleNormal="100" workbookViewId="0">
      <selection activeCell="N10" sqref="N10"/>
    </sheetView>
  </sheetViews>
  <sheetFormatPr defaultColWidth="9" defaultRowHeight="14.4"/>
  <cols>
    <col min="1" max="1" width="15.625" style="82" customWidth="1"/>
    <col min="2" max="2" width="28.625" style="82" customWidth="1"/>
    <col min="3" max="3" width="15.625" style="82" customWidth="1"/>
    <col min="4" max="4" width="11.375" style="82" customWidth="1"/>
    <col min="5" max="5" width="8.375" style="82" customWidth="1"/>
    <col min="6" max="6" width="8.375" style="83" customWidth="1"/>
    <col min="7" max="7" width="15.625" style="83" customWidth="1"/>
    <col min="8" max="8" width="12" style="83" customWidth="1"/>
    <col min="9" max="9" width="11.375" style="83" customWidth="1"/>
    <col min="10" max="10" width="5.625" style="82" customWidth="1"/>
    <col min="11" max="11" width="12" style="82" customWidth="1"/>
    <col min="12" max="12" width="11.625" style="82" customWidth="1"/>
    <col min="13" max="14" width="12" style="82" customWidth="1"/>
    <col min="15" max="15" width="13.5" style="83" customWidth="1"/>
    <col min="16" max="16" width="8.375" style="83" customWidth="1"/>
    <col min="17" max="17" width="12" style="82" customWidth="1"/>
    <col min="18" max="18" width="15.625" style="82" customWidth="1"/>
    <col min="19" max="21" width="13.5" style="82" customWidth="1"/>
    <col min="22" max="22" width="11.625" style="84" customWidth="1"/>
    <col min="23" max="23" width="11.625" style="82" customWidth="1"/>
    <col min="24" max="24" width="4.75" style="82" customWidth="1"/>
    <col min="25" max="25" width="7.5" style="85" customWidth="1"/>
    <col min="26" max="26" width="7.5" style="82" customWidth="1"/>
    <col min="27" max="27" width="15.875" style="82" customWidth="1"/>
    <col min="28" max="28" width="11.375" style="86" customWidth="1"/>
    <col min="29" max="29" width="4.75" style="87" customWidth="1"/>
    <col min="30" max="30" width="8.375" style="87" customWidth="1"/>
    <col min="31" max="31" width="12.625" style="87" customWidth="1"/>
    <col min="32" max="32" width="11.375" style="87" customWidth="1"/>
    <col min="33" max="33" width="4.75" style="87" customWidth="1"/>
    <col min="34" max="35" width="11.625" style="87" customWidth="1"/>
    <col min="36" max="36" width="11.25" style="87" customWidth="1"/>
    <col min="37" max="37" width="4.75" style="87" customWidth="1"/>
    <col min="38" max="38" width="14" style="87" customWidth="1"/>
    <col min="39" max="39" width="17.625" style="87" customWidth="1"/>
    <col min="40" max="40" width="8.375" style="87" customWidth="1"/>
    <col min="41" max="41" width="13.5" style="87" customWidth="1"/>
    <col min="42" max="42" width="4.75" style="87" customWidth="1"/>
    <col min="43" max="43" width="8.875" style="87" customWidth="1"/>
    <col min="44" max="44" width="10.625" style="87" customWidth="1"/>
    <col min="45" max="45" width="11.625" style="87" customWidth="1"/>
    <col min="46" max="46" width="11.375" style="87" customWidth="1"/>
    <col min="47" max="47" width="4.75" style="87" customWidth="1"/>
    <col min="48" max="48" width="8.375" style="87" customWidth="1"/>
    <col min="49" max="49" width="8.875" style="87" customWidth="1"/>
    <col min="50" max="50" width="13.5" style="88" customWidth="1"/>
    <col min="51" max="51" width="4.75" style="87" customWidth="1"/>
    <col min="52" max="52" width="7.125" style="87" customWidth="1"/>
    <col min="53" max="53" width="11.625" style="87" customWidth="1"/>
    <col min="54" max="54" width="4.75" style="87" customWidth="1"/>
    <col min="55" max="55" width="8.875" style="87" customWidth="1"/>
    <col min="56" max="56" width="4.75" style="87" customWidth="1"/>
    <col min="57" max="57" width="11.625" style="87" customWidth="1"/>
    <col min="58" max="58" width="13.375" style="87" customWidth="1"/>
    <col min="59" max="59" width="11.625" style="87" customWidth="1"/>
    <col min="60" max="60" width="11.375" style="87" customWidth="1"/>
    <col min="61" max="61" width="4.75" style="87" customWidth="1"/>
    <col min="62" max="63" width="8.375" style="87" customWidth="1"/>
    <col min="64" max="64" width="11.375" style="87" customWidth="1"/>
    <col min="65" max="65" width="4.75" style="87" customWidth="1"/>
    <col min="66" max="68" width="8.375" style="87" customWidth="1"/>
    <col min="69" max="69" width="10.375" style="87" customWidth="1"/>
    <col min="70" max="16384" width="9" style="82"/>
  </cols>
  <sheetData>
    <row r="1" ht="69" customHeight="1" spans="1:2">
      <c r="A1" s="89" t="s">
        <v>308</v>
      </c>
      <c r="B1" s="89"/>
    </row>
    <row r="2" s="77" customFormat="1" ht="108" customHeight="1" spans="1:69">
      <c r="A2" s="90" t="s">
        <v>309</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row>
    <row r="3" s="78" customFormat="1" ht="74.1" customHeight="1" spans="1:69">
      <c r="A3" s="91" t="s">
        <v>3</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row>
    <row r="4" s="79" customFormat="1" ht="93" customHeight="1" spans="1:69">
      <c r="A4" s="92" t="s">
        <v>4</v>
      </c>
      <c r="B4" s="93"/>
      <c r="C4" s="94" t="s">
        <v>43</v>
      </c>
      <c r="D4" s="94" t="s">
        <v>310</v>
      </c>
      <c r="E4" s="94"/>
      <c r="F4" s="94"/>
      <c r="G4" s="94"/>
      <c r="H4" s="94"/>
      <c r="I4" s="97" t="s">
        <v>311</v>
      </c>
      <c r="J4" s="97"/>
      <c r="K4" s="97"/>
      <c r="L4" s="97"/>
      <c r="M4" s="97"/>
      <c r="N4" s="97"/>
      <c r="O4" s="111" t="s">
        <v>312</v>
      </c>
      <c r="P4" s="111"/>
      <c r="Q4" s="111"/>
      <c r="R4" s="111"/>
      <c r="S4" s="116" t="s">
        <v>313</v>
      </c>
      <c r="T4" s="116"/>
      <c r="U4" s="116"/>
      <c r="V4" s="116"/>
      <c r="W4" s="116"/>
      <c r="X4" s="116"/>
      <c r="Y4" s="116"/>
      <c r="Z4" s="116"/>
      <c r="AA4" s="116"/>
      <c r="AB4" s="122" t="s">
        <v>314</v>
      </c>
      <c r="AC4" s="122"/>
      <c r="AD4" s="122"/>
      <c r="AE4" s="122"/>
      <c r="AF4" s="122" t="s">
        <v>315</v>
      </c>
      <c r="AG4" s="122"/>
      <c r="AH4" s="122"/>
      <c r="AI4" s="122"/>
      <c r="AJ4" s="131" t="s">
        <v>316</v>
      </c>
      <c r="AK4" s="131"/>
      <c r="AL4" s="131"/>
      <c r="AM4" s="131"/>
      <c r="AN4" s="131"/>
      <c r="AO4" s="122" t="s">
        <v>317</v>
      </c>
      <c r="AP4" s="122"/>
      <c r="AQ4" s="122"/>
      <c r="AR4" s="122"/>
      <c r="AS4" s="122"/>
      <c r="AT4" s="122" t="s">
        <v>318</v>
      </c>
      <c r="AU4" s="122"/>
      <c r="AV4" s="122"/>
      <c r="AW4" s="122"/>
      <c r="AX4" s="131" t="s">
        <v>319</v>
      </c>
      <c r="AY4" s="131"/>
      <c r="AZ4" s="131"/>
      <c r="BA4" s="131"/>
      <c r="BB4" s="131"/>
      <c r="BC4" s="131"/>
      <c r="BD4" s="131"/>
      <c r="BE4" s="131"/>
      <c r="BF4" s="131"/>
      <c r="BG4" s="131"/>
      <c r="BH4" s="122" t="s">
        <v>320</v>
      </c>
      <c r="BI4" s="122"/>
      <c r="BJ4" s="122"/>
      <c r="BK4" s="122"/>
      <c r="BL4" s="122" t="s">
        <v>321</v>
      </c>
      <c r="BM4" s="122"/>
      <c r="BN4" s="122"/>
      <c r="BO4" s="122"/>
      <c r="BP4" s="122"/>
      <c r="BQ4" s="122"/>
    </row>
    <row r="5" s="79" customFormat="1" ht="183.6" spans="1:69">
      <c r="A5" s="95"/>
      <c r="B5" s="96"/>
      <c r="C5" s="94"/>
      <c r="D5" s="94" t="s">
        <v>322</v>
      </c>
      <c r="E5" s="94" t="s">
        <v>323</v>
      </c>
      <c r="F5" s="94" t="s">
        <v>324</v>
      </c>
      <c r="G5" s="97" t="s">
        <v>325</v>
      </c>
      <c r="H5" s="97" t="s">
        <v>326</v>
      </c>
      <c r="I5" s="97" t="s">
        <v>322</v>
      </c>
      <c r="J5" s="94" t="s">
        <v>327</v>
      </c>
      <c r="K5" s="94" t="s">
        <v>328</v>
      </c>
      <c r="L5" s="94" t="s">
        <v>329</v>
      </c>
      <c r="M5" s="94" t="s">
        <v>330</v>
      </c>
      <c r="N5" s="94" t="s">
        <v>331</v>
      </c>
      <c r="O5" s="97" t="s">
        <v>322</v>
      </c>
      <c r="P5" s="97" t="s">
        <v>332</v>
      </c>
      <c r="Q5" s="117" t="s">
        <v>333</v>
      </c>
      <c r="R5" s="94" t="s">
        <v>334</v>
      </c>
      <c r="S5" s="94" t="s">
        <v>322</v>
      </c>
      <c r="T5" s="94" t="s">
        <v>335</v>
      </c>
      <c r="U5" s="111" t="s">
        <v>336</v>
      </c>
      <c r="V5" s="111"/>
      <c r="W5" s="111"/>
      <c r="X5" s="111"/>
      <c r="Y5" s="111"/>
      <c r="Z5" s="111"/>
      <c r="AA5" s="111"/>
      <c r="AB5" s="123" t="s">
        <v>322</v>
      </c>
      <c r="AC5" s="122" t="s">
        <v>337</v>
      </c>
      <c r="AD5" s="122" t="s">
        <v>338</v>
      </c>
      <c r="AE5" s="122" t="s">
        <v>339</v>
      </c>
      <c r="AF5" s="122" t="s">
        <v>322</v>
      </c>
      <c r="AG5" s="122" t="s">
        <v>337</v>
      </c>
      <c r="AH5" s="122" t="s">
        <v>338</v>
      </c>
      <c r="AI5" s="122" t="s">
        <v>340</v>
      </c>
      <c r="AJ5" s="122" t="s">
        <v>322</v>
      </c>
      <c r="AK5" s="122" t="s">
        <v>341</v>
      </c>
      <c r="AL5" s="122" t="s">
        <v>342</v>
      </c>
      <c r="AM5" s="122" t="s">
        <v>343</v>
      </c>
      <c r="AN5" s="122" t="s">
        <v>344</v>
      </c>
      <c r="AO5" s="122" t="s">
        <v>322</v>
      </c>
      <c r="AP5" s="122" t="s">
        <v>337</v>
      </c>
      <c r="AQ5" s="122" t="s">
        <v>338</v>
      </c>
      <c r="AR5" s="122" t="s">
        <v>345</v>
      </c>
      <c r="AS5" s="122" t="s">
        <v>346</v>
      </c>
      <c r="AT5" s="122" t="s">
        <v>322</v>
      </c>
      <c r="AU5" s="122" t="s">
        <v>327</v>
      </c>
      <c r="AV5" s="122" t="s">
        <v>338</v>
      </c>
      <c r="AW5" s="122" t="s">
        <v>345</v>
      </c>
      <c r="AX5" s="135" t="s">
        <v>322</v>
      </c>
      <c r="AY5" s="122" t="s">
        <v>347</v>
      </c>
      <c r="AZ5" s="122"/>
      <c r="BA5" s="122" t="s">
        <v>348</v>
      </c>
      <c r="BB5" s="122" t="s">
        <v>349</v>
      </c>
      <c r="BC5" s="122"/>
      <c r="BD5" s="122" t="s">
        <v>350</v>
      </c>
      <c r="BE5" s="122"/>
      <c r="BF5" s="122" t="s">
        <v>345</v>
      </c>
      <c r="BG5" s="122" t="s">
        <v>351</v>
      </c>
      <c r="BH5" s="122" t="s">
        <v>322</v>
      </c>
      <c r="BI5" s="122" t="s">
        <v>337</v>
      </c>
      <c r="BJ5" s="122" t="s">
        <v>338</v>
      </c>
      <c r="BK5" s="122" t="s">
        <v>345</v>
      </c>
      <c r="BL5" s="122" t="s">
        <v>322</v>
      </c>
      <c r="BM5" s="122" t="s">
        <v>337</v>
      </c>
      <c r="BN5" s="122" t="s">
        <v>338</v>
      </c>
      <c r="BO5" s="122" t="s">
        <v>352</v>
      </c>
      <c r="BP5" s="122" t="s">
        <v>353</v>
      </c>
      <c r="BQ5" s="122" t="s">
        <v>354</v>
      </c>
    </row>
    <row r="6" s="79" customFormat="1" ht="336.6" spans="1:69">
      <c r="A6" s="98"/>
      <c r="B6" s="99"/>
      <c r="C6" s="94"/>
      <c r="D6" s="94"/>
      <c r="E6" s="94"/>
      <c r="F6" s="94"/>
      <c r="G6" s="97"/>
      <c r="H6" s="97"/>
      <c r="I6" s="97"/>
      <c r="J6" s="94"/>
      <c r="K6" s="94"/>
      <c r="L6" s="94"/>
      <c r="M6" s="94"/>
      <c r="N6" s="94"/>
      <c r="O6" s="97"/>
      <c r="P6" s="97"/>
      <c r="Q6" s="117"/>
      <c r="R6" s="94"/>
      <c r="S6" s="94"/>
      <c r="T6" s="94"/>
      <c r="U6" s="118" t="s">
        <v>345</v>
      </c>
      <c r="V6" s="118" t="s">
        <v>355</v>
      </c>
      <c r="W6" s="118" t="s">
        <v>356</v>
      </c>
      <c r="X6" s="118" t="s">
        <v>357</v>
      </c>
      <c r="Y6" s="124" t="s">
        <v>358</v>
      </c>
      <c r="Z6" s="118" t="s">
        <v>353</v>
      </c>
      <c r="AA6" s="118" t="s">
        <v>359</v>
      </c>
      <c r="AB6" s="123"/>
      <c r="AC6" s="122"/>
      <c r="AD6" s="122"/>
      <c r="AE6" s="122"/>
      <c r="AF6" s="122"/>
      <c r="AG6" s="122"/>
      <c r="AH6" s="122"/>
      <c r="AI6" s="122"/>
      <c r="AJ6" s="122"/>
      <c r="AK6" s="122" t="s">
        <v>360</v>
      </c>
      <c r="AL6" s="122"/>
      <c r="AM6" s="122"/>
      <c r="AN6" s="122"/>
      <c r="AO6" s="122"/>
      <c r="AP6" s="122"/>
      <c r="AQ6" s="122"/>
      <c r="AR6" s="122"/>
      <c r="AS6" s="122"/>
      <c r="AT6" s="122"/>
      <c r="AU6" s="122"/>
      <c r="AV6" s="122"/>
      <c r="AW6" s="122"/>
      <c r="AX6" s="135"/>
      <c r="AY6" s="136" t="s">
        <v>327</v>
      </c>
      <c r="AZ6" s="136" t="s">
        <v>338</v>
      </c>
      <c r="BA6" s="136" t="s">
        <v>361</v>
      </c>
      <c r="BB6" s="136" t="s">
        <v>327</v>
      </c>
      <c r="BC6" s="136" t="s">
        <v>338</v>
      </c>
      <c r="BD6" s="136" t="s">
        <v>327</v>
      </c>
      <c r="BE6" s="136" t="s">
        <v>338</v>
      </c>
      <c r="BF6" s="122"/>
      <c r="BG6" s="122"/>
      <c r="BH6" s="122"/>
      <c r="BI6" s="122"/>
      <c r="BJ6" s="122"/>
      <c r="BK6" s="122"/>
      <c r="BL6" s="122"/>
      <c r="BM6" s="122"/>
      <c r="BN6" s="122"/>
      <c r="BO6" s="122"/>
      <c r="BP6" s="122"/>
      <c r="BQ6" s="122"/>
    </row>
    <row r="7" s="80" customFormat="1" ht="140.1" customHeight="1" spans="1:69">
      <c r="A7" s="100" t="s">
        <v>22</v>
      </c>
      <c r="B7" s="101"/>
      <c r="C7" s="102">
        <v>190.05</v>
      </c>
      <c r="D7" s="102">
        <v>9.31</v>
      </c>
      <c r="E7" s="103">
        <v>4</v>
      </c>
      <c r="F7" s="103">
        <v>53</v>
      </c>
      <c r="G7" s="103">
        <v>1</v>
      </c>
      <c r="H7" s="103">
        <v>1</v>
      </c>
      <c r="I7" s="107">
        <v>6</v>
      </c>
      <c r="J7" s="112">
        <v>4</v>
      </c>
      <c r="K7" s="103" t="s">
        <v>362</v>
      </c>
      <c r="L7" s="103" t="s">
        <v>362</v>
      </c>
      <c r="M7" s="103" t="s">
        <v>362</v>
      </c>
      <c r="N7" s="103" t="s">
        <v>362</v>
      </c>
      <c r="O7" s="107">
        <v>53.67</v>
      </c>
      <c r="P7" s="103">
        <v>7</v>
      </c>
      <c r="Q7" s="103">
        <f t="shared" ref="Q7:Q9" si="0">AC7+AG7+AK7+AP7+AU7+AY7+BB7+BD7+BI7+BM7</f>
        <v>20</v>
      </c>
      <c r="R7" s="103">
        <f>AE7+AL7+AM7+AQ7+AV7+AZ7+BC7+BJ7+BN7</f>
        <v>15310</v>
      </c>
      <c r="S7" s="119">
        <v>121.07</v>
      </c>
      <c r="T7" s="103">
        <f>U7+Y7+Z7+AA7</f>
        <v>23282</v>
      </c>
      <c r="U7" s="120">
        <f>AR7+AW7+BF7+BK7</f>
        <v>23192</v>
      </c>
      <c r="V7" s="103" t="s">
        <v>362</v>
      </c>
      <c r="W7" s="103" t="s">
        <v>362</v>
      </c>
      <c r="X7" s="103"/>
      <c r="Y7" s="103">
        <v>30</v>
      </c>
      <c r="Z7" s="103">
        <v>30</v>
      </c>
      <c r="AA7" s="103">
        <v>30</v>
      </c>
      <c r="AB7" s="107">
        <v>1.08</v>
      </c>
      <c r="AC7" s="125">
        <v>1</v>
      </c>
      <c r="AD7" s="126"/>
      <c r="AE7" s="125">
        <v>1080</v>
      </c>
      <c r="AF7" s="107">
        <v>0</v>
      </c>
      <c r="AG7" s="126">
        <v>1</v>
      </c>
      <c r="AH7" s="126" t="s">
        <v>362</v>
      </c>
      <c r="AI7" s="126" t="s">
        <v>362</v>
      </c>
      <c r="AJ7" s="132">
        <v>44.74</v>
      </c>
      <c r="AK7" s="125">
        <v>5</v>
      </c>
      <c r="AL7" s="125">
        <v>7150</v>
      </c>
      <c r="AM7" s="125">
        <v>1150</v>
      </c>
      <c r="AN7" s="126"/>
      <c r="AO7" s="107">
        <v>99.45</v>
      </c>
      <c r="AP7" s="125">
        <v>5</v>
      </c>
      <c r="AQ7" s="125">
        <v>2080</v>
      </c>
      <c r="AR7" s="134">
        <v>18720</v>
      </c>
      <c r="AS7" s="126" t="s">
        <v>362</v>
      </c>
      <c r="AT7" s="128">
        <v>8.45</v>
      </c>
      <c r="AU7" s="125">
        <v>1</v>
      </c>
      <c r="AV7" s="125">
        <v>540</v>
      </c>
      <c r="AW7" s="125">
        <v>1520</v>
      </c>
      <c r="AX7" s="137">
        <v>16.22</v>
      </c>
      <c r="AY7" s="125">
        <v>1</v>
      </c>
      <c r="AZ7" s="125">
        <v>100</v>
      </c>
      <c r="BA7" s="126" t="s">
        <v>362</v>
      </c>
      <c r="BB7" s="125">
        <v>2</v>
      </c>
      <c r="BC7" s="125">
        <v>2600</v>
      </c>
      <c r="BD7" s="125">
        <v>1</v>
      </c>
      <c r="BE7" s="126" t="s">
        <v>362</v>
      </c>
      <c r="BF7" s="125">
        <v>2600</v>
      </c>
      <c r="BG7" s="126" t="s">
        <v>362</v>
      </c>
      <c r="BH7" s="128">
        <v>2.14</v>
      </c>
      <c r="BI7" s="125">
        <v>1</v>
      </c>
      <c r="BJ7" s="125">
        <v>310</v>
      </c>
      <c r="BK7" s="125">
        <v>352</v>
      </c>
      <c r="BL7" s="137">
        <v>0.77</v>
      </c>
      <c r="BM7" s="125">
        <v>2</v>
      </c>
      <c r="BN7" s="125">
        <v>300</v>
      </c>
      <c r="BO7" s="125">
        <v>30</v>
      </c>
      <c r="BP7" s="125">
        <v>30</v>
      </c>
      <c r="BQ7" s="125">
        <v>30</v>
      </c>
    </row>
    <row r="8" s="81" customFormat="1" ht="99.95" customHeight="1" spans="1:69">
      <c r="A8" s="104" t="s">
        <v>24</v>
      </c>
      <c r="B8" s="105"/>
      <c r="C8" s="102">
        <f t="shared" ref="C8:C12" si="1">D8+I8+O8+S8</f>
        <v>2.54</v>
      </c>
      <c r="D8" s="102"/>
      <c r="E8" s="106"/>
      <c r="F8" s="106"/>
      <c r="G8" s="106"/>
      <c r="H8" s="106"/>
      <c r="I8" s="113"/>
      <c r="J8" s="114"/>
      <c r="K8" s="106"/>
      <c r="L8" s="106"/>
      <c r="M8" s="106"/>
      <c r="N8" s="106"/>
      <c r="O8" s="107">
        <f>P8*0.5+R8*0.001</f>
        <v>2.54</v>
      </c>
      <c r="P8" s="103"/>
      <c r="Q8" s="103">
        <f t="shared" si="0"/>
        <v>3</v>
      </c>
      <c r="R8" s="103">
        <f>AE8+AH8+AL8+AM8+AQ8+AV8+AZ8+BC8+BJ8+BN8</f>
        <v>2540</v>
      </c>
      <c r="S8" s="107"/>
      <c r="T8" s="103"/>
      <c r="U8" s="120"/>
      <c r="V8" s="108"/>
      <c r="W8" s="108"/>
      <c r="X8" s="121"/>
      <c r="Y8" s="113"/>
      <c r="Z8" s="114"/>
      <c r="AA8" s="114"/>
      <c r="AB8" s="127"/>
      <c r="AC8" s="125"/>
      <c r="AD8" s="126"/>
      <c r="AE8" s="125"/>
      <c r="AF8" s="126"/>
      <c r="AG8" s="126"/>
      <c r="AH8" s="126"/>
      <c r="AI8" s="126"/>
      <c r="AJ8" s="133"/>
      <c r="AK8" s="125"/>
      <c r="AL8" s="125"/>
      <c r="AM8" s="125"/>
      <c r="AN8" s="126"/>
      <c r="AO8" s="133">
        <v>1.04</v>
      </c>
      <c r="AP8" s="125">
        <v>1</v>
      </c>
      <c r="AQ8" s="125">
        <v>1040</v>
      </c>
      <c r="AR8" s="125"/>
      <c r="AS8" s="126"/>
      <c r="AT8" s="133"/>
      <c r="AU8" s="125"/>
      <c r="AV8" s="125"/>
      <c r="AW8" s="125"/>
      <c r="AX8" s="137">
        <v>1.35</v>
      </c>
      <c r="AY8" s="125"/>
      <c r="AZ8" s="125">
        <v>50</v>
      </c>
      <c r="BA8" s="126"/>
      <c r="BB8" s="125">
        <v>1</v>
      </c>
      <c r="BC8" s="125">
        <v>1300</v>
      </c>
      <c r="BD8" s="125"/>
      <c r="BE8" s="126"/>
      <c r="BF8" s="125"/>
      <c r="BG8" s="126"/>
      <c r="BH8" s="128"/>
      <c r="BI8" s="125"/>
      <c r="BJ8" s="125"/>
      <c r="BK8" s="125"/>
      <c r="BL8" s="137">
        <v>0.15</v>
      </c>
      <c r="BM8" s="125">
        <v>1</v>
      </c>
      <c r="BN8" s="125">
        <v>150</v>
      </c>
      <c r="BO8" s="125"/>
      <c r="BP8" s="125"/>
      <c r="BQ8" s="125"/>
    </row>
    <row r="9" s="81" customFormat="1" ht="99.95" customHeight="1" spans="1:69">
      <c r="A9" s="104" t="s">
        <v>26</v>
      </c>
      <c r="B9" s="105"/>
      <c r="C9" s="102">
        <f t="shared" si="1"/>
        <v>2.54</v>
      </c>
      <c r="D9" s="102"/>
      <c r="E9" s="103"/>
      <c r="F9" s="106"/>
      <c r="G9" s="106"/>
      <c r="H9" s="106"/>
      <c r="I9" s="113"/>
      <c r="J9" s="114"/>
      <c r="K9" s="106"/>
      <c r="L9" s="106"/>
      <c r="M9" s="106"/>
      <c r="N9" s="106"/>
      <c r="O9" s="107">
        <f>P9*0.5+R9*0.001</f>
        <v>2.54</v>
      </c>
      <c r="P9" s="103"/>
      <c r="Q9" s="103">
        <f t="shared" si="0"/>
        <v>3</v>
      </c>
      <c r="R9" s="103">
        <f>AQ9+AZ9+BC9+BN9</f>
        <v>2540</v>
      </c>
      <c r="S9" s="107"/>
      <c r="T9" s="103"/>
      <c r="U9" s="120"/>
      <c r="V9" s="108"/>
      <c r="W9" s="108"/>
      <c r="X9" s="121"/>
      <c r="Y9" s="113"/>
      <c r="Z9" s="114"/>
      <c r="AA9" s="114"/>
      <c r="AB9" s="127"/>
      <c r="AC9" s="125"/>
      <c r="AD9" s="126"/>
      <c r="AE9" s="125"/>
      <c r="AF9" s="126"/>
      <c r="AG9" s="126"/>
      <c r="AH9" s="126"/>
      <c r="AI9" s="126"/>
      <c r="AJ9" s="133"/>
      <c r="AK9" s="125"/>
      <c r="AL9" s="125"/>
      <c r="AM9" s="125"/>
      <c r="AN9" s="126"/>
      <c r="AO9" s="133">
        <v>1.04</v>
      </c>
      <c r="AP9" s="125">
        <v>1</v>
      </c>
      <c r="AQ9" s="125">
        <v>1040</v>
      </c>
      <c r="AR9" s="125"/>
      <c r="AS9" s="126"/>
      <c r="AT9" s="133"/>
      <c r="AU9" s="125"/>
      <c r="AV9" s="125"/>
      <c r="AW9" s="125"/>
      <c r="AX9" s="137">
        <v>1.35</v>
      </c>
      <c r="AY9" s="125"/>
      <c r="AZ9" s="125">
        <v>50</v>
      </c>
      <c r="BA9" s="126"/>
      <c r="BB9" s="125">
        <v>1</v>
      </c>
      <c r="BC9" s="125">
        <v>1300</v>
      </c>
      <c r="BD9" s="125"/>
      <c r="BE9" s="126"/>
      <c r="BF9" s="125"/>
      <c r="BG9" s="126"/>
      <c r="BH9" s="128"/>
      <c r="BI9" s="125"/>
      <c r="BJ9" s="125"/>
      <c r="BK9" s="125"/>
      <c r="BL9" s="137">
        <v>0.15</v>
      </c>
      <c r="BM9" s="125">
        <v>1</v>
      </c>
      <c r="BN9" s="125">
        <v>150</v>
      </c>
      <c r="BO9" s="125"/>
      <c r="BP9" s="125"/>
      <c r="BQ9" s="125"/>
    </row>
    <row r="10" s="81" customFormat="1" ht="99.95" customHeight="1" spans="1:69">
      <c r="A10" s="104" t="s">
        <v>27</v>
      </c>
      <c r="B10" s="105"/>
      <c r="C10" s="102">
        <f t="shared" si="1"/>
        <v>163.23</v>
      </c>
      <c r="D10" s="107">
        <v>6.31</v>
      </c>
      <c r="E10" s="108">
        <v>2</v>
      </c>
      <c r="F10" s="106">
        <v>53</v>
      </c>
      <c r="G10" s="106">
        <v>1</v>
      </c>
      <c r="H10" s="106">
        <v>1</v>
      </c>
      <c r="I10" s="115">
        <v>3</v>
      </c>
      <c r="J10" s="108">
        <v>2</v>
      </c>
      <c r="K10" s="108" t="s">
        <v>362</v>
      </c>
      <c r="L10" s="108" t="s">
        <v>362</v>
      </c>
      <c r="M10" s="108" t="s">
        <v>362</v>
      </c>
      <c r="N10" s="108" t="s">
        <v>362</v>
      </c>
      <c r="O10" s="107">
        <v>32.85</v>
      </c>
      <c r="P10" s="103">
        <v>7</v>
      </c>
      <c r="Q10" s="103">
        <v>10</v>
      </c>
      <c r="R10" s="103">
        <f>AE10+AL10+AM10+AV10+BJ10</f>
        <v>7370</v>
      </c>
      <c r="S10" s="119">
        <v>121.07</v>
      </c>
      <c r="T10" s="103">
        <f>U10+Y10+Z10+AA10</f>
        <v>23282</v>
      </c>
      <c r="U10" s="120">
        <f>AR10+AW10+BF10+BK10</f>
        <v>23192</v>
      </c>
      <c r="V10" s="103" t="s">
        <v>362</v>
      </c>
      <c r="W10" s="103" t="s">
        <v>362</v>
      </c>
      <c r="X10" s="121"/>
      <c r="Y10" s="103">
        <v>30</v>
      </c>
      <c r="Z10" s="103">
        <v>30</v>
      </c>
      <c r="AA10" s="103">
        <v>30</v>
      </c>
      <c r="AB10" s="107">
        <v>1.08</v>
      </c>
      <c r="AC10" s="125">
        <v>1</v>
      </c>
      <c r="AD10" s="126"/>
      <c r="AE10" s="125">
        <v>1080</v>
      </c>
      <c r="AF10" s="128">
        <v>0</v>
      </c>
      <c r="AG10" s="126">
        <v>1</v>
      </c>
      <c r="AH10" s="126" t="s">
        <v>362</v>
      </c>
      <c r="AI10" s="126" t="s">
        <v>362</v>
      </c>
      <c r="AJ10" s="133">
        <v>29</v>
      </c>
      <c r="AK10" s="125">
        <v>3</v>
      </c>
      <c r="AL10" s="125">
        <v>4290</v>
      </c>
      <c r="AM10" s="125">
        <v>1150</v>
      </c>
      <c r="AN10" s="126"/>
      <c r="AO10" s="133">
        <v>97.35</v>
      </c>
      <c r="AP10" s="125">
        <v>1</v>
      </c>
      <c r="AQ10" s="125"/>
      <c r="AR10" s="134">
        <v>18720</v>
      </c>
      <c r="AS10" s="126" t="s">
        <v>362</v>
      </c>
      <c r="AT10" s="128">
        <v>8.45</v>
      </c>
      <c r="AU10" s="125">
        <v>1</v>
      </c>
      <c r="AV10" s="125">
        <v>540</v>
      </c>
      <c r="AW10" s="125">
        <v>1520</v>
      </c>
      <c r="AX10" s="137">
        <v>13.52</v>
      </c>
      <c r="AY10" s="125">
        <v>1</v>
      </c>
      <c r="AZ10" s="125"/>
      <c r="BA10" s="126" t="s">
        <v>362</v>
      </c>
      <c r="BB10" s="125"/>
      <c r="BC10" s="125"/>
      <c r="BD10" s="125">
        <v>1</v>
      </c>
      <c r="BE10" s="126" t="s">
        <v>362</v>
      </c>
      <c r="BF10" s="125">
        <v>2600</v>
      </c>
      <c r="BG10" s="126" t="s">
        <v>362</v>
      </c>
      <c r="BH10" s="128">
        <v>2.14</v>
      </c>
      <c r="BI10" s="125">
        <v>1</v>
      </c>
      <c r="BJ10" s="125">
        <v>310</v>
      </c>
      <c r="BK10" s="125">
        <v>352</v>
      </c>
      <c r="BL10" s="137">
        <v>0.47</v>
      </c>
      <c r="BM10" s="125"/>
      <c r="BN10" s="125"/>
      <c r="BO10" s="125">
        <v>30</v>
      </c>
      <c r="BP10" s="125">
        <v>30</v>
      </c>
      <c r="BQ10" s="125">
        <v>30</v>
      </c>
    </row>
    <row r="11" s="81" customFormat="1" ht="99.95" customHeight="1" spans="1:69">
      <c r="A11" s="102" t="s">
        <v>32</v>
      </c>
      <c r="B11" s="109" t="s">
        <v>363</v>
      </c>
      <c r="C11" s="102">
        <f t="shared" si="1"/>
        <v>10.87</v>
      </c>
      <c r="D11" s="107">
        <v>1.5</v>
      </c>
      <c r="E11" s="108">
        <v>1</v>
      </c>
      <c r="F11" s="106"/>
      <c r="G11" s="106"/>
      <c r="H11" s="106"/>
      <c r="I11" s="115">
        <v>1.5</v>
      </c>
      <c r="J11" s="108">
        <v>1</v>
      </c>
      <c r="K11" s="108" t="s">
        <v>362</v>
      </c>
      <c r="L11" s="108" t="s">
        <v>362</v>
      </c>
      <c r="M11" s="108" t="s">
        <v>362</v>
      </c>
      <c r="N11" s="108" t="s">
        <v>362</v>
      </c>
      <c r="O11" s="107">
        <v>7.87</v>
      </c>
      <c r="P11" s="103"/>
      <c r="Q11" s="103">
        <v>3</v>
      </c>
      <c r="R11" s="103">
        <v>1430</v>
      </c>
      <c r="S11" s="107"/>
      <c r="T11" s="103"/>
      <c r="U11" s="120"/>
      <c r="V11" s="108"/>
      <c r="W11" s="108"/>
      <c r="X11" s="121"/>
      <c r="Y11" s="113"/>
      <c r="Z11" s="129"/>
      <c r="AA11" s="129"/>
      <c r="AB11" s="130"/>
      <c r="AC11" s="126"/>
      <c r="AD11" s="126"/>
      <c r="AE11" s="126"/>
      <c r="AF11" s="126"/>
      <c r="AG11" s="126"/>
      <c r="AH11" s="126"/>
      <c r="AI11" s="126"/>
      <c r="AJ11" s="133">
        <v>7.87</v>
      </c>
      <c r="AK11" s="125">
        <v>1</v>
      </c>
      <c r="AL11" s="125">
        <v>1430</v>
      </c>
      <c r="AM11" s="126"/>
      <c r="AN11" s="126"/>
      <c r="AO11" s="128">
        <v>0</v>
      </c>
      <c r="AP11" s="125">
        <v>2</v>
      </c>
      <c r="AQ11" s="125"/>
      <c r="AR11" s="126"/>
      <c r="AS11" s="126"/>
      <c r="AT11" s="126"/>
      <c r="AU11" s="126"/>
      <c r="AV11" s="126"/>
      <c r="AW11" s="126"/>
      <c r="AX11" s="138"/>
      <c r="AY11" s="126"/>
      <c r="AZ11" s="126"/>
      <c r="BA11" s="126"/>
      <c r="BB11" s="126"/>
      <c r="BC11" s="126"/>
      <c r="BD11" s="126"/>
      <c r="BE11" s="126"/>
      <c r="BF11" s="126"/>
      <c r="BG11" s="126"/>
      <c r="BH11" s="126"/>
      <c r="BI11" s="126"/>
      <c r="BJ11" s="126"/>
      <c r="BK11" s="126"/>
      <c r="BL11" s="126"/>
      <c r="BM11" s="126"/>
      <c r="BN11" s="126"/>
      <c r="BO11" s="126"/>
      <c r="BP11" s="126"/>
      <c r="BQ11" s="126"/>
    </row>
    <row r="12" s="81" customFormat="1" ht="99.95" customHeight="1" spans="1:69">
      <c r="A12" s="102" t="s">
        <v>33</v>
      </c>
      <c r="B12" s="109" t="s">
        <v>364</v>
      </c>
      <c r="C12" s="102">
        <f t="shared" si="1"/>
        <v>10.87</v>
      </c>
      <c r="D12" s="107">
        <v>1.5</v>
      </c>
      <c r="E12" s="108">
        <v>1</v>
      </c>
      <c r="F12" s="106"/>
      <c r="G12" s="106"/>
      <c r="H12" s="106"/>
      <c r="I12" s="115">
        <v>1.5</v>
      </c>
      <c r="J12" s="108">
        <v>1</v>
      </c>
      <c r="K12" s="108" t="s">
        <v>362</v>
      </c>
      <c r="L12" s="108" t="s">
        <v>362</v>
      </c>
      <c r="M12" s="108" t="s">
        <v>362</v>
      </c>
      <c r="N12" s="108" t="s">
        <v>362</v>
      </c>
      <c r="O12" s="107">
        <v>7.87</v>
      </c>
      <c r="P12" s="103"/>
      <c r="Q12" s="103">
        <f>AC12+AG12+AK12+AP12+AU12+AY12+BB12+BD12+BI12+BM12</f>
        <v>1</v>
      </c>
      <c r="R12" s="103">
        <f>AL12</f>
        <v>1430</v>
      </c>
      <c r="S12" s="107"/>
      <c r="T12" s="103"/>
      <c r="U12" s="120"/>
      <c r="V12" s="108"/>
      <c r="W12" s="108"/>
      <c r="X12" s="121"/>
      <c r="Y12" s="113"/>
      <c r="Z12" s="129"/>
      <c r="AA12" s="129"/>
      <c r="AB12" s="130"/>
      <c r="AC12" s="126"/>
      <c r="AD12" s="126"/>
      <c r="AE12" s="126"/>
      <c r="AF12" s="126"/>
      <c r="AG12" s="126"/>
      <c r="AH12" s="126"/>
      <c r="AI12" s="126"/>
      <c r="AJ12" s="133">
        <v>7.87</v>
      </c>
      <c r="AK12" s="125">
        <v>1</v>
      </c>
      <c r="AL12" s="125">
        <v>1430</v>
      </c>
      <c r="AM12" s="126"/>
      <c r="AN12" s="126"/>
      <c r="AO12" s="126"/>
      <c r="AP12" s="126"/>
      <c r="AQ12" s="126"/>
      <c r="AR12" s="126"/>
      <c r="AS12" s="126"/>
      <c r="AT12" s="126"/>
      <c r="AU12" s="126"/>
      <c r="AV12" s="126"/>
      <c r="AW12" s="126"/>
      <c r="AX12" s="138"/>
      <c r="AY12" s="126"/>
      <c r="AZ12" s="126"/>
      <c r="BA12" s="126"/>
      <c r="BB12" s="126"/>
      <c r="BC12" s="126"/>
      <c r="BD12" s="126"/>
      <c r="BE12" s="126"/>
      <c r="BF12" s="126"/>
      <c r="BG12" s="126"/>
      <c r="BH12" s="126"/>
      <c r="BI12" s="126"/>
      <c r="BJ12" s="126"/>
      <c r="BK12" s="126"/>
      <c r="BL12" s="126"/>
      <c r="BM12" s="126"/>
      <c r="BN12" s="126"/>
      <c r="BO12" s="126"/>
      <c r="BP12" s="126"/>
      <c r="BQ12" s="126"/>
    </row>
    <row r="13" s="81" customFormat="1" ht="408.95" customHeight="1" spans="1:69">
      <c r="A13" s="110" t="s">
        <v>365</v>
      </c>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row>
    <row r="14" s="81" customFormat="1" ht="408.95" customHeight="1" spans="1:69">
      <c r="A14" s="110"/>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row>
  </sheetData>
  <mergeCells count="78">
    <mergeCell ref="A1:B1"/>
    <mergeCell ref="A2:BQ2"/>
    <mergeCell ref="A3:BQ3"/>
    <mergeCell ref="D4:H4"/>
    <mergeCell ref="I4:N4"/>
    <mergeCell ref="O4:R4"/>
    <mergeCell ref="S4:AA4"/>
    <mergeCell ref="AB4:AE4"/>
    <mergeCell ref="AF4:AI4"/>
    <mergeCell ref="AJ4:AN4"/>
    <mergeCell ref="AO4:AS4"/>
    <mergeCell ref="AT4:AW4"/>
    <mergeCell ref="AX4:BG4"/>
    <mergeCell ref="BH4:BK4"/>
    <mergeCell ref="BL4:BQ4"/>
    <mergeCell ref="U5:AA5"/>
    <mergeCell ref="AY5:AZ5"/>
    <mergeCell ref="BB5:BC5"/>
    <mergeCell ref="BD5:BE5"/>
    <mergeCell ref="A7:B7"/>
    <mergeCell ref="A8:B8"/>
    <mergeCell ref="A9:B9"/>
    <mergeCell ref="A10:B10"/>
    <mergeCell ref="A13:BQ13"/>
    <mergeCell ref="A14:BQ14"/>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AB5:AB6"/>
    <mergeCell ref="AC5:AC6"/>
    <mergeCell ref="AD5:AD6"/>
    <mergeCell ref="AE5:AE6"/>
    <mergeCell ref="AF5:AF6"/>
    <mergeCell ref="AG5:AG6"/>
    <mergeCell ref="AH5:AH6"/>
    <mergeCell ref="AI5:AI6"/>
    <mergeCell ref="AJ5:AJ6"/>
    <mergeCell ref="AL5:AL6"/>
    <mergeCell ref="AM5:AM6"/>
    <mergeCell ref="AN5:AN6"/>
    <mergeCell ref="AO5:AO6"/>
    <mergeCell ref="AP5:AP6"/>
    <mergeCell ref="AQ5:AQ6"/>
    <mergeCell ref="AR5:AR6"/>
    <mergeCell ref="AS5:AS6"/>
    <mergeCell ref="AT5:AT6"/>
    <mergeCell ref="AU5:AU6"/>
    <mergeCell ref="AV5:AV6"/>
    <mergeCell ref="AW5:AW6"/>
    <mergeCell ref="AX5:AX6"/>
    <mergeCell ref="BF5:BF6"/>
    <mergeCell ref="BG5:BG6"/>
    <mergeCell ref="BH5:BH6"/>
    <mergeCell ref="BI5:BI6"/>
    <mergeCell ref="BJ5:BJ6"/>
    <mergeCell ref="BK5:BK6"/>
    <mergeCell ref="BL5:BL6"/>
    <mergeCell ref="BM5:BM6"/>
    <mergeCell ref="BN5:BN6"/>
    <mergeCell ref="BO5:BO6"/>
    <mergeCell ref="BP5:BP6"/>
    <mergeCell ref="BQ5:BQ6"/>
    <mergeCell ref="A4:B6"/>
  </mergeCells>
  <pageMargins left="0.554861111111111" right="0.357638888888889" top="1" bottom="1" header="0.5" footer="0.5"/>
  <pageSetup paperSize="9" scale="1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15"/>
  <dimension ref="A1:V9"/>
  <sheetViews>
    <sheetView zoomScale="85" zoomScaleNormal="85" workbookViewId="0">
      <selection activeCell="L25" sqref="L25"/>
    </sheetView>
  </sheetViews>
  <sheetFormatPr defaultColWidth="9" defaultRowHeight="15.6"/>
  <cols>
    <col min="1" max="1" width="20" style="58" customWidth="1"/>
    <col min="2" max="2" width="10.625" style="58" customWidth="1"/>
    <col min="3" max="22" width="10.125" style="58" customWidth="1"/>
    <col min="23" max="23" width="9.625" style="58" customWidth="1"/>
    <col min="24" max="24" width="12.75" style="58" customWidth="1"/>
    <col min="25" max="16384" width="9" style="58"/>
  </cols>
  <sheetData>
    <row r="1" ht="33.95" customHeight="1" spans="1:1">
      <c r="A1" s="59" t="s">
        <v>366</v>
      </c>
    </row>
    <row r="2" s="55" customFormat="1" ht="38.1" customHeight="1" spans="1:22">
      <c r="A2" s="60" t="s">
        <v>367</v>
      </c>
      <c r="B2" s="61"/>
      <c r="C2" s="60"/>
      <c r="D2" s="60"/>
      <c r="E2" s="60"/>
      <c r="F2" s="60"/>
      <c r="G2" s="60"/>
      <c r="H2" s="60"/>
      <c r="I2" s="60"/>
      <c r="J2" s="60"/>
      <c r="K2" s="60"/>
      <c r="L2" s="60"/>
      <c r="M2" s="60"/>
      <c r="N2" s="60"/>
      <c r="O2" s="60"/>
      <c r="P2" s="60"/>
      <c r="Q2" s="60"/>
      <c r="R2" s="60"/>
      <c r="S2" s="60"/>
      <c r="T2" s="60"/>
      <c r="U2" s="60"/>
      <c r="V2" s="60"/>
    </row>
    <row r="3" s="55" customFormat="1" ht="38.1" customHeight="1" spans="1:22">
      <c r="A3" s="62"/>
      <c r="B3" s="63"/>
      <c r="C3" s="62"/>
      <c r="D3" s="62"/>
      <c r="E3" s="62"/>
      <c r="F3" s="62"/>
      <c r="G3" s="62"/>
      <c r="H3" s="62"/>
      <c r="I3" s="62"/>
      <c r="J3" s="62"/>
      <c r="K3" s="62"/>
      <c r="L3" s="62"/>
      <c r="M3" s="62"/>
      <c r="N3" s="62"/>
      <c r="O3" s="62"/>
      <c r="P3" s="62"/>
      <c r="Q3" s="62"/>
      <c r="R3" s="62"/>
      <c r="S3" s="62"/>
      <c r="T3" s="62"/>
      <c r="U3" s="76" t="s">
        <v>368</v>
      </c>
      <c r="V3" s="76"/>
    </row>
    <row r="4" s="56" customFormat="1" ht="37.9" customHeight="1" spans="1:22">
      <c r="A4" s="64" t="s">
        <v>109</v>
      </c>
      <c r="B4" s="65" t="s">
        <v>5</v>
      </c>
      <c r="C4" s="66" t="s">
        <v>369</v>
      </c>
      <c r="D4" s="67"/>
      <c r="E4" s="67"/>
      <c r="F4" s="68"/>
      <c r="G4" s="67"/>
      <c r="H4" s="68"/>
      <c r="I4" s="66" t="s">
        <v>370</v>
      </c>
      <c r="J4" s="68"/>
      <c r="K4" s="67"/>
      <c r="L4" s="68"/>
      <c r="M4" s="67"/>
      <c r="N4" s="68"/>
      <c r="O4" s="64" t="s">
        <v>371</v>
      </c>
      <c r="P4" s="64"/>
      <c r="Q4" s="64"/>
      <c r="R4" s="64"/>
      <c r="S4" s="64"/>
      <c r="T4" s="64"/>
      <c r="U4" s="64"/>
      <c r="V4" s="64"/>
    </row>
    <row r="5" s="56" customFormat="1" ht="92.1" customHeight="1" spans="1:22">
      <c r="A5" s="64"/>
      <c r="B5" s="65"/>
      <c r="C5" s="66" t="s">
        <v>372</v>
      </c>
      <c r="D5" s="69"/>
      <c r="E5" s="66" t="s">
        <v>373</v>
      </c>
      <c r="F5" s="70"/>
      <c r="G5" s="66" t="s">
        <v>374</v>
      </c>
      <c r="H5" s="70"/>
      <c r="I5" s="66" t="s">
        <v>375</v>
      </c>
      <c r="J5" s="70"/>
      <c r="K5" s="66" t="s">
        <v>376</v>
      </c>
      <c r="L5" s="70"/>
      <c r="M5" s="66" t="s">
        <v>377</v>
      </c>
      <c r="N5" s="70"/>
      <c r="O5" s="66" t="s">
        <v>378</v>
      </c>
      <c r="P5" s="70"/>
      <c r="Q5" s="66" t="s">
        <v>379</v>
      </c>
      <c r="R5" s="70"/>
      <c r="S5" s="66" t="s">
        <v>380</v>
      </c>
      <c r="T5" s="70"/>
      <c r="U5" s="66" t="s">
        <v>381</v>
      </c>
      <c r="V5" s="70"/>
    </row>
    <row r="6" s="56" customFormat="1" ht="30" customHeight="1" spans="1:22">
      <c r="A6" s="64"/>
      <c r="B6" s="71" t="s">
        <v>382</v>
      </c>
      <c r="C6" s="72" t="s">
        <v>230</v>
      </c>
      <c r="D6" s="72" t="s">
        <v>382</v>
      </c>
      <c r="E6" s="72" t="s">
        <v>230</v>
      </c>
      <c r="F6" s="71" t="s">
        <v>382</v>
      </c>
      <c r="G6" s="72" t="s">
        <v>230</v>
      </c>
      <c r="H6" s="71" t="s">
        <v>382</v>
      </c>
      <c r="I6" s="72" t="s">
        <v>230</v>
      </c>
      <c r="J6" s="71" t="s">
        <v>382</v>
      </c>
      <c r="K6" s="72" t="s">
        <v>230</v>
      </c>
      <c r="L6" s="71" t="s">
        <v>382</v>
      </c>
      <c r="M6" s="72" t="s">
        <v>230</v>
      </c>
      <c r="N6" s="71" t="s">
        <v>382</v>
      </c>
      <c r="O6" s="72" t="s">
        <v>230</v>
      </c>
      <c r="P6" s="71" t="s">
        <v>382</v>
      </c>
      <c r="Q6" s="72" t="s">
        <v>230</v>
      </c>
      <c r="R6" s="71" t="s">
        <v>382</v>
      </c>
      <c r="S6" s="72" t="s">
        <v>230</v>
      </c>
      <c r="T6" s="71" t="s">
        <v>382</v>
      </c>
      <c r="U6" s="72" t="s">
        <v>230</v>
      </c>
      <c r="V6" s="71" t="s">
        <v>382</v>
      </c>
    </row>
    <row r="7" s="57" customFormat="1" ht="33.95" customHeight="1" spans="1:22">
      <c r="A7" s="64" t="s">
        <v>22</v>
      </c>
      <c r="B7" s="65">
        <v>2.34</v>
      </c>
      <c r="C7" s="64">
        <v>37</v>
      </c>
      <c r="D7" s="65">
        <v>0.19</v>
      </c>
      <c r="E7" s="64">
        <v>37</v>
      </c>
      <c r="F7" s="65">
        <v>0.07</v>
      </c>
      <c r="G7" s="64">
        <v>10</v>
      </c>
      <c r="H7" s="65">
        <v>0.2</v>
      </c>
      <c r="I7" s="64">
        <v>9</v>
      </c>
      <c r="J7" s="65">
        <v>0.18</v>
      </c>
      <c r="K7" s="64">
        <v>8</v>
      </c>
      <c r="L7" s="65">
        <v>0.16</v>
      </c>
      <c r="M7" s="64">
        <v>49</v>
      </c>
      <c r="N7" s="65">
        <v>0.62</v>
      </c>
      <c r="O7" s="64">
        <v>1</v>
      </c>
      <c r="P7" s="65">
        <v>0.12</v>
      </c>
      <c r="Q7" s="64">
        <v>1</v>
      </c>
      <c r="R7" s="65">
        <v>0.26</v>
      </c>
      <c r="S7" s="64">
        <v>3</v>
      </c>
      <c r="T7" s="65">
        <v>0.18</v>
      </c>
      <c r="U7" s="64">
        <v>3</v>
      </c>
      <c r="V7" s="65">
        <v>0.36</v>
      </c>
    </row>
    <row r="8" s="55" customFormat="1" ht="33.95" customHeight="1" spans="1:22">
      <c r="A8" s="73" t="s">
        <v>28</v>
      </c>
      <c r="B8" s="74">
        <v>1.06</v>
      </c>
      <c r="C8" s="73">
        <v>20</v>
      </c>
      <c r="D8" s="74">
        <v>0.1</v>
      </c>
      <c r="E8" s="73">
        <v>20</v>
      </c>
      <c r="F8" s="74">
        <f>ROUND(E8*20/10000,2)</f>
        <v>0.04</v>
      </c>
      <c r="G8" s="73">
        <v>6</v>
      </c>
      <c r="H8" s="74">
        <v>0.12</v>
      </c>
      <c r="I8" s="73">
        <v>5</v>
      </c>
      <c r="J8" s="74">
        <v>0.1</v>
      </c>
      <c r="K8" s="73">
        <v>0</v>
      </c>
      <c r="L8" s="74">
        <v>0</v>
      </c>
      <c r="M8" s="73">
        <v>32</v>
      </c>
      <c r="N8" s="74">
        <v>0.4</v>
      </c>
      <c r="O8" s="73">
        <v>1</v>
      </c>
      <c r="P8" s="74">
        <v>0.12</v>
      </c>
      <c r="Q8" s="73">
        <v>0</v>
      </c>
      <c r="R8" s="74">
        <v>0</v>
      </c>
      <c r="S8" s="73">
        <v>1</v>
      </c>
      <c r="T8" s="74">
        <v>0.06</v>
      </c>
      <c r="U8" s="73">
        <v>1</v>
      </c>
      <c r="V8" s="74">
        <v>0.12</v>
      </c>
    </row>
    <row r="9" s="55" customFormat="1" ht="36.95" customHeight="1" spans="1:22">
      <c r="A9" s="75" t="s">
        <v>383</v>
      </c>
      <c r="B9" s="74">
        <f>D9+F9+H9+J9+L9+N9+P9+R9+T9+V9</f>
        <v>1.279</v>
      </c>
      <c r="C9" s="73">
        <v>17</v>
      </c>
      <c r="D9" s="74">
        <v>0.085</v>
      </c>
      <c r="E9" s="73">
        <v>17</v>
      </c>
      <c r="F9" s="74">
        <v>0.034</v>
      </c>
      <c r="G9" s="73">
        <v>4</v>
      </c>
      <c r="H9" s="74">
        <v>0.08</v>
      </c>
      <c r="I9" s="73">
        <v>4</v>
      </c>
      <c r="J9" s="74">
        <v>0.08</v>
      </c>
      <c r="K9" s="73">
        <v>8</v>
      </c>
      <c r="L9" s="74">
        <v>0.16</v>
      </c>
      <c r="M9" s="73">
        <v>17</v>
      </c>
      <c r="N9" s="74">
        <v>0.22</v>
      </c>
      <c r="O9" s="73">
        <v>0</v>
      </c>
      <c r="P9" s="74">
        <v>0</v>
      </c>
      <c r="Q9" s="73">
        <v>1</v>
      </c>
      <c r="R9" s="74">
        <v>0.26</v>
      </c>
      <c r="S9" s="73">
        <v>2</v>
      </c>
      <c r="T9" s="74">
        <v>0.12</v>
      </c>
      <c r="U9" s="73">
        <v>2</v>
      </c>
      <c r="V9" s="74">
        <v>0.24</v>
      </c>
    </row>
  </sheetData>
  <mergeCells count="17">
    <mergeCell ref="A2:V2"/>
    <mergeCell ref="U3:V3"/>
    <mergeCell ref="C4:H4"/>
    <mergeCell ref="I4:N4"/>
    <mergeCell ref="O4:V4"/>
    <mergeCell ref="C5:D5"/>
    <mergeCell ref="E5:F5"/>
    <mergeCell ref="G5:H5"/>
    <mergeCell ref="I5:J5"/>
    <mergeCell ref="K5:L5"/>
    <mergeCell ref="M5:N5"/>
    <mergeCell ref="O5:P5"/>
    <mergeCell ref="Q5:R5"/>
    <mergeCell ref="S5:T5"/>
    <mergeCell ref="U5:V5"/>
    <mergeCell ref="A4:A6"/>
    <mergeCell ref="B4:B5"/>
  </mergeCells>
  <pageMargins left="0.554861111111111" right="0.554861111111111" top="1" bottom="1" header="0.5" footer="0.5"/>
  <pageSetup paperSize="9" scale="54"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T12"/>
  <sheetViews>
    <sheetView zoomScale="80" zoomScaleNormal="80" workbookViewId="0">
      <selection activeCell="J12" sqref="J12"/>
    </sheetView>
  </sheetViews>
  <sheetFormatPr defaultColWidth="8.875" defaultRowHeight="15.6"/>
  <cols>
    <col min="1" max="1" width="33" style="40" customWidth="1"/>
    <col min="2" max="2" width="25.5" style="41" customWidth="1"/>
    <col min="3" max="3" width="30.25" style="40" customWidth="1"/>
    <col min="4" max="4" width="10.25" style="40" customWidth="1"/>
    <col min="5" max="5" width="13.25" style="40" customWidth="1"/>
    <col min="6" max="6" width="9" style="40" customWidth="1"/>
    <col min="7" max="7" width="7.5" style="42" customWidth="1"/>
    <col min="8" max="8" width="9" style="40" customWidth="1"/>
    <col min="9" max="12" width="7" style="40" customWidth="1"/>
    <col min="13" max="14" width="6.5" style="40" customWidth="1"/>
    <col min="15" max="15" width="6.5" style="42" customWidth="1"/>
    <col min="16" max="16" width="9" style="40" customWidth="1"/>
    <col min="17" max="17" width="3.125" style="42" customWidth="1"/>
    <col min="18" max="20" width="4.875" style="40" customWidth="1"/>
    <col min="21" max="16384" width="8.875" style="40"/>
  </cols>
  <sheetData>
    <row r="1" ht="17.4" spans="1:2">
      <c r="A1" s="43" t="s">
        <v>384</v>
      </c>
      <c r="B1" s="43"/>
    </row>
    <row r="2" ht="57" customHeight="1" spans="1:20">
      <c r="A2" s="44" t="s">
        <v>385</v>
      </c>
      <c r="B2" s="44"/>
      <c r="C2" s="44"/>
      <c r="D2" s="45"/>
      <c r="E2" s="45"/>
      <c r="F2" s="45"/>
      <c r="G2" s="45"/>
      <c r="H2" s="45"/>
      <c r="I2" s="45"/>
      <c r="J2" s="45"/>
      <c r="K2" s="45"/>
      <c r="L2" s="45"/>
      <c r="M2" s="45"/>
      <c r="N2" s="45"/>
      <c r="O2" s="45"/>
      <c r="P2" s="45"/>
      <c r="Q2" s="45"/>
      <c r="R2" s="45"/>
      <c r="S2" s="45"/>
      <c r="T2" s="45"/>
    </row>
    <row r="3" ht="20.4" spans="1:20">
      <c r="A3" s="46" t="s">
        <v>3</v>
      </c>
      <c r="B3" s="46"/>
      <c r="C3" s="46"/>
      <c r="D3" s="47"/>
      <c r="E3" s="47"/>
      <c r="F3" s="47"/>
      <c r="G3" s="47"/>
      <c r="H3" s="47"/>
      <c r="I3" s="47"/>
      <c r="J3" s="47"/>
      <c r="K3" s="47"/>
      <c r="L3" s="47"/>
      <c r="M3" s="47"/>
      <c r="N3" s="47"/>
      <c r="O3" s="47"/>
      <c r="P3" s="47"/>
      <c r="Q3" s="47"/>
      <c r="R3" s="47"/>
      <c r="S3" s="47"/>
      <c r="T3" s="47"/>
    </row>
    <row r="4" s="37" customFormat="1" ht="17.4" spans="1:3">
      <c r="A4" s="48" t="s">
        <v>4</v>
      </c>
      <c r="B4" s="48" t="s">
        <v>43</v>
      </c>
      <c r="C4" s="48" t="s">
        <v>386</v>
      </c>
    </row>
    <row r="5" s="37" customFormat="1" ht="17.4" spans="1:3">
      <c r="A5" s="48"/>
      <c r="B5" s="48"/>
      <c r="C5" s="48" t="s">
        <v>387</v>
      </c>
    </row>
    <row r="6" s="37" customFormat="1" ht="12" customHeight="1" spans="1:3">
      <c r="A6" s="48"/>
      <c r="B6" s="48"/>
      <c r="C6" s="48"/>
    </row>
    <row r="7" s="38" customFormat="1" ht="25.5" customHeight="1" spans="1:3">
      <c r="A7" s="49" t="s">
        <v>285</v>
      </c>
      <c r="B7" s="49">
        <v>0.94</v>
      </c>
      <c r="C7" s="50">
        <v>800</v>
      </c>
    </row>
    <row r="8" s="39" customFormat="1" ht="25.5" customHeight="1" spans="1:5">
      <c r="A8" s="51" t="s">
        <v>32</v>
      </c>
      <c r="B8" s="49">
        <v>0.47</v>
      </c>
      <c r="C8" s="50">
        <v>400</v>
      </c>
      <c r="E8" s="38"/>
    </row>
    <row r="9" s="39" customFormat="1" ht="25.5" customHeight="1" spans="1:5">
      <c r="A9" s="52" t="s">
        <v>388</v>
      </c>
      <c r="B9" s="52">
        <v>0.47</v>
      </c>
      <c r="C9" s="53">
        <v>400</v>
      </c>
      <c r="D9" s="38"/>
      <c r="E9" s="38"/>
    </row>
    <row r="10" s="39" customFormat="1" ht="25.5" customHeight="1" spans="1:5">
      <c r="A10" s="51" t="s">
        <v>33</v>
      </c>
      <c r="B10" s="49">
        <v>0.47</v>
      </c>
      <c r="C10" s="50">
        <v>400</v>
      </c>
      <c r="E10" s="38"/>
    </row>
    <row r="11" s="39" customFormat="1" ht="25.5" customHeight="1" spans="1:5">
      <c r="A11" s="52" t="s">
        <v>103</v>
      </c>
      <c r="B11" s="52">
        <v>0.47</v>
      </c>
      <c r="C11" s="53">
        <v>400</v>
      </c>
      <c r="D11" s="38"/>
      <c r="E11" s="38"/>
    </row>
    <row r="12" s="39" customFormat="1" ht="25.5" customHeight="1" spans="1:5">
      <c r="A12" s="54" t="s">
        <v>389</v>
      </c>
      <c r="B12" s="54"/>
      <c r="C12" s="54"/>
      <c r="E12" s="38"/>
    </row>
  </sheetData>
  <mergeCells count="7">
    <mergeCell ref="A1:B1"/>
    <mergeCell ref="A2:C2"/>
    <mergeCell ref="A3:C3"/>
    <mergeCell ref="A12:C12"/>
    <mergeCell ref="A4:A6"/>
    <mergeCell ref="B4:B6"/>
    <mergeCell ref="C5:C6"/>
  </mergeCells>
  <printOptions horizontalCentered="1"/>
  <pageMargins left="0.751388888888889" right="0.751388888888889" top="1" bottom="1" header="0.5" footer="0.5"/>
  <pageSetup paperSize="9" scale="8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23"/>
  <sheetViews>
    <sheetView zoomScale="85" zoomScaleNormal="85" workbookViewId="0">
      <selection activeCell="Q10" sqref="Q10"/>
    </sheetView>
  </sheetViews>
  <sheetFormatPr defaultColWidth="8.875" defaultRowHeight="12"/>
  <cols>
    <col min="1" max="1" width="26.5" style="496" customWidth="1"/>
    <col min="2" max="2" width="19.375" style="496" customWidth="1"/>
    <col min="3" max="3" width="12.625" style="496" customWidth="1"/>
    <col min="4" max="4" width="11.625" style="496" customWidth="1"/>
    <col min="5" max="5" width="11.625" style="497" customWidth="1"/>
    <col min="6" max="6" width="13.875" style="497" customWidth="1"/>
    <col min="7" max="7" width="11.25" style="496" customWidth="1"/>
    <col min="8" max="8" width="16.75" style="496" customWidth="1"/>
    <col min="9" max="9" width="11" style="496" customWidth="1"/>
    <col min="10" max="10" width="11.75" style="496" customWidth="1"/>
    <col min="11" max="11" width="12" style="496" customWidth="1"/>
    <col min="12" max="12" width="26.25" style="496" customWidth="1"/>
    <col min="13" max="16384" width="8.875" style="496"/>
  </cols>
  <sheetData>
    <row r="1" ht="33" customHeight="1" spans="1:10">
      <c r="A1" s="498" t="s">
        <v>34</v>
      </c>
      <c r="B1" s="499"/>
      <c r="C1" s="500"/>
      <c r="D1" s="501"/>
      <c r="E1" s="502"/>
      <c r="F1" s="502"/>
      <c r="G1" s="503"/>
      <c r="H1" s="503"/>
      <c r="I1" s="537"/>
      <c r="J1" s="537"/>
    </row>
    <row r="2" ht="26.1" customHeight="1" spans="1:12">
      <c r="A2" s="504" t="s">
        <v>35</v>
      </c>
      <c r="B2" s="504"/>
      <c r="C2" s="504"/>
      <c r="D2" s="504"/>
      <c r="E2" s="505"/>
      <c r="F2" s="505"/>
      <c r="G2" s="504"/>
      <c r="H2" s="504"/>
      <c r="I2" s="504"/>
      <c r="J2" s="504"/>
      <c r="K2" s="504"/>
      <c r="L2" s="504"/>
    </row>
    <row r="3" ht="30" customHeight="1" spans="1:10">
      <c r="A3" s="506"/>
      <c r="B3" s="506"/>
      <c r="C3" s="506"/>
      <c r="D3" s="506"/>
      <c r="E3" s="507"/>
      <c r="F3" s="507"/>
      <c r="G3" s="506"/>
      <c r="H3" s="506"/>
      <c r="I3" s="538"/>
      <c r="J3" s="539"/>
    </row>
    <row r="4" ht="39.95" customHeight="1" spans="1:12">
      <c r="A4" s="508" t="s">
        <v>4</v>
      </c>
      <c r="B4" s="509" t="s">
        <v>36</v>
      </c>
      <c r="C4" s="510" t="s">
        <v>37</v>
      </c>
      <c r="D4" s="511"/>
      <c r="E4" s="512" t="s">
        <v>38</v>
      </c>
      <c r="F4" s="513"/>
      <c r="G4" s="510" t="s">
        <v>39</v>
      </c>
      <c r="H4" s="511"/>
      <c r="I4" s="540" t="s">
        <v>40</v>
      </c>
      <c r="J4" s="540"/>
      <c r="K4" s="540" t="s">
        <v>41</v>
      </c>
      <c r="L4" s="540"/>
    </row>
    <row r="5" ht="59.1" customHeight="1" spans="1:12">
      <c r="A5" s="508"/>
      <c r="B5" s="509"/>
      <c r="C5" s="514" t="s">
        <v>42</v>
      </c>
      <c r="D5" s="514" t="s">
        <v>43</v>
      </c>
      <c r="E5" s="515" t="s">
        <v>44</v>
      </c>
      <c r="F5" s="515" t="s">
        <v>43</v>
      </c>
      <c r="G5" s="514" t="s">
        <v>42</v>
      </c>
      <c r="H5" s="514" t="s">
        <v>43</v>
      </c>
      <c r="I5" s="514" t="s">
        <v>45</v>
      </c>
      <c r="J5" s="514" t="s">
        <v>43</v>
      </c>
      <c r="K5" s="514" t="s">
        <v>46</v>
      </c>
      <c r="L5" s="514" t="s">
        <v>43</v>
      </c>
    </row>
    <row r="6" s="494" customFormat="1" ht="39.95" customHeight="1" spans="1:12">
      <c r="A6" s="516" t="s">
        <v>22</v>
      </c>
      <c r="B6" s="517">
        <f>B7+B8+B9+B10+B11+B12</f>
        <v>11.2</v>
      </c>
      <c r="C6" s="518">
        <v>15.92</v>
      </c>
      <c r="D6" s="519">
        <v>3.184</v>
      </c>
      <c r="E6" s="520">
        <v>80</v>
      </c>
      <c r="F6" s="521">
        <v>4</v>
      </c>
      <c r="G6" s="518">
        <v>15.92</v>
      </c>
      <c r="H6" s="519">
        <v>3.184</v>
      </c>
      <c r="I6" s="520">
        <v>10</v>
      </c>
      <c r="J6" s="541">
        <v>0.2</v>
      </c>
      <c r="K6" s="542">
        <v>0.2</v>
      </c>
      <c r="L6" s="543">
        <v>0.632</v>
      </c>
    </row>
    <row r="7" s="494" customFormat="1" ht="39.95" customHeight="1" spans="1:12">
      <c r="A7" s="522" t="s">
        <v>24</v>
      </c>
      <c r="B7" s="523">
        <v>0.12</v>
      </c>
      <c r="C7" s="524">
        <v>0.3</v>
      </c>
      <c r="D7" s="525">
        <v>0.06</v>
      </c>
      <c r="E7" s="526"/>
      <c r="F7" s="526"/>
      <c r="G7" s="524">
        <v>0.3</v>
      </c>
      <c r="H7" s="525">
        <v>0.06</v>
      </c>
      <c r="I7" s="520"/>
      <c r="J7" s="541"/>
      <c r="K7" s="520"/>
      <c r="L7" s="541"/>
    </row>
    <row r="8" ht="39.95" customHeight="1" spans="1:12">
      <c r="A8" s="527" t="s">
        <v>25</v>
      </c>
      <c r="B8" s="523">
        <v>0.008</v>
      </c>
      <c r="C8" s="527">
        <v>0.02</v>
      </c>
      <c r="D8" s="527">
        <v>0.004</v>
      </c>
      <c r="E8" s="528"/>
      <c r="F8" s="528"/>
      <c r="G8" s="527">
        <v>0.02</v>
      </c>
      <c r="H8" s="527">
        <v>0.004</v>
      </c>
      <c r="I8" s="530"/>
      <c r="J8" s="544"/>
      <c r="K8" s="530"/>
      <c r="L8" s="544"/>
    </row>
    <row r="9" ht="39.95" customHeight="1" spans="1:12">
      <c r="A9" s="527" t="s">
        <v>26</v>
      </c>
      <c r="B9" s="523">
        <v>0.24</v>
      </c>
      <c r="C9" s="527">
        <v>0.6</v>
      </c>
      <c r="D9" s="527">
        <v>0.12</v>
      </c>
      <c r="E9" s="528"/>
      <c r="F9" s="528"/>
      <c r="G9" s="527">
        <v>0.6</v>
      </c>
      <c r="H9" s="527">
        <v>0.12</v>
      </c>
      <c r="I9" s="530"/>
      <c r="J9" s="544"/>
      <c r="K9" s="530"/>
      <c r="L9" s="544"/>
    </row>
    <row r="10" ht="39.95" customHeight="1" spans="1:12">
      <c r="A10" s="522" t="s">
        <v>27</v>
      </c>
      <c r="B10" s="523">
        <f>D10+F10+H10+J10+L10</f>
        <v>5.792</v>
      </c>
      <c r="C10" s="529">
        <v>5</v>
      </c>
      <c r="D10" s="525">
        <v>1</v>
      </c>
      <c r="E10" s="530">
        <v>40</v>
      </c>
      <c r="F10" s="526">
        <v>2</v>
      </c>
      <c r="G10" s="529">
        <v>10</v>
      </c>
      <c r="H10" s="525">
        <v>2</v>
      </c>
      <c r="I10" s="530">
        <v>8</v>
      </c>
      <c r="J10" s="544">
        <v>0.16</v>
      </c>
      <c r="K10" s="527">
        <v>0.2</v>
      </c>
      <c r="L10" s="527">
        <v>0.632</v>
      </c>
    </row>
    <row r="11" ht="39.95" customHeight="1" spans="1:12">
      <c r="A11" s="516" t="s">
        <v>47</v>
      </c>
      <c r="B11" s="531">
        <f>D11+F11+H11+J11+L11</f>
        <v>3</v>
      </c>
      <c r="C11" s="532">
        <v>5</v>
      </c>
      <c r="D11" s="532">
        <v>1</v>
      </c>
      <c r="E11" s="530">
        <v>40</v>
      </c>
      <c r="F11" s="533">
        <v>2</v>
      </c>
      <c r="G11" s="532"/>
      <c r="H11" s="525"/>
      <c r="I11" s="527"/>
      <c r="J11" s="527"/>
      <c r="K11" s="545"/>
      <c r="L11" s="544"/>
    </row>
    <row r="12" ht="39.95" customHeight="1" spans="1:12">
      <c r="A12" s="516" t="s">
        <v>48</v>
      </c>
      <c r="B12" s="531">
        <f>D12+F12+H12+J12+L12</f>
        <v>2.04</v>
      </c>
      <c r="C12" s="525">
        <v>5</v>
      </c>
      <c r="D12" s="525">
        <v>1</v>
      </c>
      <c r="E12" s="526"/>
      <c r="F12" s="526"/>
      <c r="G12" s="525">
        <v>5</v>
      </c>
      <c r="H12" s="525">
        <v>1</v>
      </c>
      <c r="I12" s="522">
        <v>2</v>
      </c>
      <c r="J12" s="525">
        <v>0.04</v>
      </c>
      <c r="K12" s="529"/>
      <c r="L12" s="525"/>
    </row>
    <row r="13" ht="39.95" customHeight="1" spans="1:12">
      <c r="A13" s="534" t="s">
        <v>49</v>
      </c>
      <c r="B13" s="534"/>
      <c r="C13" s="534"/>
      <c r="D13" s="534"/>
      <c r="E13" s="535"/>
      <c r="F13" s="535"/>
      <c r="G13" s="534"/>
      <c r="H13" s="534"/>
      <c r="I13" s="534"/>
      <c r="J13" s="534"/>
      <c r="K13" s="546"/>
      <c r="L13" s="546"/>
    </row>
    <row r="14" ht="39.95" customHeight="1" spans="1:12">
      <c r="A14" s="534"/>
      <c r="B14" s="534"/>
      <c r="C14" s="534"/>
      <c r="D14" s="534"/>
      <c r="E14" s="535"/>
      <c r="F14" s="535"/>
      <c r="G14" s="534"/>
      <c r="H14" s="534"/>
      <c r="I14" s="534"/>
      <c r="J14" s="534"/>
      <c r="K14" s="546"/>
      <c r="L14" s="546"/>
    </row>
    <row r="15" ht="39.95" customHeight="1" spans="1:12">
      <c r="A15" s="534"/>
      <c r="B15" s="534"/>
      <c r="C15" s="534"/>
      <c r="D15" s="534"/>
      <c r="E15" s="535"/>
      <c r="F15" s="535"/>
      <c r="G15" s="534"/>
      <c r="H15" s="534"/>
      <c r="I15" s="534"/>
      <c r="J15" s="534"/>
      <c r="K15" s="546"/>
      <c r="L15" s="546"/>
    </row>
    <row r="16" s="495" customFormat="1" ht="24" customHeight="1" spans="1:12">
      <c r="A16" s="534"/>
      <c r="B16" s="534"/>
      <c r="C16" s="534"/>
      <c r="D16" s="534"/>
      <c r="E16" s="535"/>
      <c r="F16" s="535"/>
      <c r="G16" s="534"/>
      <c r="H16" s="534"/>
      <c r="I16" s="534"/>
      <c r="J16" s="534"/>
      <c r="K16" s="546"/>
      <c r="L16" s="546"/>
    </row>
    <row r="17" s="495" customFormat="1" ht="31.9" customHeight="1" spans="1:12">
      <c r="A17" s="534"/>
      <c r="B17" s="534"/>
      <c r="C17" s="534"/>
      <c r="D17" s="534"/>
      <c r="E17" s="535"/>
      <c r="F17" s="535"/>
      <c r="G17" s="534"/>
      <c r="H17" s="534"/>
      <c r="I17" s="534"/>
      <c r="J17" s="534"/>
      <c r="K17" s="546"/>
      <c r="L17" s="546"/>
    </row>
    <row r="18" s="495" customFormat="1" ht="24.6" customHeight="1" spans="1:12">
      <c r="A18" s="534"/>
      <c r="B18" s="534"/>
      <c r="C18" s="534"/>
      <c r="D18" s="534"/>
      <c r="E18" s="535"/>
      <c r="F18" s="535"/>
      <c r="G18" s="534"/>
      <c r="H18" s="534"/>
      <c r="I18" s="534"/>
      <c r="J18" s="534"/>
      <c r="K18" s="546"/>
      <c r="L18" s="546"/>
    </row>
    <row r="19" s="495" customFormat="1" ht="30.75" customHeight="1" spans="1:12">
      <c r="A19" s="534"/>
      <c r="B19" s="534"/>
      <c r="C19" s="534"/>
      <c r="D19" s="534"/>
      <c r="E19" s="535"/>
      <c r="F19" s="535"/>
      <c r="G19" s="534"/>
      <c r="H19" s="534"/>
      <c r="I19" s="534"/>
      <c r="J19" s="534"/>
      <c r="K19" s="546"/>
      <c r="L19" s="546"/>
    </row>
    <row r="20" s="495" customFormat="1" ht="39" customHeight="1" spans="1:12">
      <c r="A20" s="534"/>
      <c r="B20" s="534"/>
      <c r="C20" s="534"/>
      <c r="D20" s="534"/>
      <c r="E20" s="535"/>
      <c r="F20" s="535"/>
      <c r="G20" s="534"/>
      <c r="H20" s="534"/>
      <c r="I20" s="534"/>
      <c r="J20" s="534"/>
      <c r="K20" s="546"/>
      <c r="L20" s="546"/>
    </row>
    <row r="21" s="495" customFormat="1" ht="27" customHeight="1" spans="5:6">
      <c r="E21" s="536"/>
      <c r="F21" s="536"/>
    </row>
    <row r="22" s="495" customFormat="1" ht="45.95" customHeight="1" spans="5:6">
      <c r="E22" s="536"/>
      <c r="F22" s="536"/>
    </row>
    <row r="23" s="495" customFormat="1" ht="54.95" customHeight="1" spans="5:6">
      <c r="E23" s="536"/>
      <c r="F23" s="536"/>
    </row>
  </sheetData>
  <mergeCells count="10">
    <mergeCell ref="A2:L2"/>
    <mergeCell ref="E3:F3"/>
    <mergeCell ref="C4:D4"/>
    <mergeCell ref="E4:F4"/>
    <mergeCell ref="G4:H4"/>
    <mergeCell ref="I4:J4"/>
    <mergeCell ref="K4:L4"/>
    <mergeCell ref="A4:A5"/>
    <mergeCell ref="B4:B5"/>
    <mergeCell ref="A13:L20"/>
  </mergeCells>
  <printOptions horizontalCentered="1"/>
  <pageMargins left="0.751388888888889" right="0.751388888888889" top="0.802777777777778" bottom="0.60625" header="0.5" footer="0.5"/>
  <pageSetup paperSize="9" scale="55" orientation="landscape"/>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HV257"/>
  <sheetViews>
    <sheetView zoomScale="85" zoomScaleNormal="85" workbookViewId="0">
      <selection activeCell="J15" sqref="J15"/>
    </sheetView>
  </sheetViews>
  <sheetFormatPr defaultColWidth="9" defaultRowHeight="15.75" customHeight="1"/>
  <cols>
    <col min="1" max="1" width="13.5" style="2" customWidth="1"/>
    <col min="2" max="2" width="17.625" style="2" customWidth="1"/>
    <col min="3" max="8" width="9" style="2" customWidth="1"/>
    <col min="9" max="9" width="32.5" style="2" customWidth="1"/>
    <col min="10" max="10" width="33.125" style="2" customWidth="1"/>
    <col min="11" max="225" width="9" style="2" customWidth="1"/>
    <col min="226" max="230" width="9" style="1" customWidth="1"/>
    <col min="231" max="16384" width="9" style="4"/>
  </cols>
  <sheetData>
    <row r="1" s="1" customFormat="1" ht="29.1" customHeight="1" spans="1:225">
      <c r="A1" s="5" t="s">
        <v>390</v>
      </c>
      <c r="B1" s="6"/>
      <c r="C1" s="6"/>
      <c r="D1" s="6"/>
      <c r="E1" s="6"/>
      <c r="F1" s="6"/>
      <c r="G1" s="6"/>
      <c r="H1" s="6"/>
      <c r="I1" s="6"/>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row>
    <row r="2" s="2" customFormat="1" ht="48.95" customHeight="1" spans="1:9">
      <c r="A2" s="7" t="s">
        <v>391</v>
      </c>
      <c r="B2" s="8"/>
      <c r="C2" s="8"/>
      <c r="D2" s="8"/>
      <c r="E2" s="8"/>
      <c r="F2" s="8"/>
      <c r="G2" s="8"/>
      <c r="H2" s="8"/>
      <c r="I2" s="8"/>
    </row>
    <row r="3" s="2" customFormat="1" ht="21" customHeight="1" spans="1:9">
      <c r="A3" s="9" t="s">
        <v>3</v>
      </c>
      <c r="B3" s="10"/>
      <c r="C3" s="10"/>
      <c r="D3" s="10"/>
      <c r="E3" s="10"/>
      <c r="F3" s="10"/>
      <c r="G3" s="10"/>
      <c r="H3" s="10"/>
      <c r="I3" s="10"/>
    </row>
    <row r="4" s="2" customFormat="1" ht="27" customHeight="1" spans="1:9">
      <c r="A4" s="11" t="s">
        <v>4</v>
      </c>
      <c r="B4" s="12" t="s">
        <v>392</v>
      </c>
      <c r="C4" s="13" t="s">
        <v>393</v>
      </c>
      <c r="D4" s="14"/>
      <c r="E4" s="14"/>
      <c r="F4" s="14"/>
      <c r="G4" s="14"/>
      <c r="H4" s="15" t="s">
        <v>394</v>
      </c>
      <c r="I4" s="33"/>
    </row>
    <row r="5" s="2" customFormat="1" ht="21.95" customHeight="1" spans="1:9">
      <c r="A5" s="16"/>
      <c r="B5" s="17"/>
      <c r="C5" s="13" t="s">
        <v>395</v>
      </c>
      <c r="D5" s="14"/>
      <c r="E5" s="13" t="s">
        <v>396</v>
      </c>
      <c r="F5" s="14"/>
      <c r="G5" s="13" t="s">
        <v>14</v>
      </c>
      <c r="H5" s="18"/>
      <c r="I5" s="34"/>
    </row>
    <row r="6" s="2" customFormat="1" ht="42.95" customHeight="1" spans="1:9">
      <c r="A6" s="16"/>
      <c r="B6" s="19"/>
      <c r="C6" s="13" t="s">
        <v>397</v>
      </c>
      <c r="D6" s="20" t="s">
        <v>78</v>
      </c>
      <c r="E6" s="21" t="s">
        <v>397</v>
      </c>
      <c r="F6" s="20" t="s">
        <v>78</v>
      </c>
      <c r="G6" s="22" t="s">
        <v>78</v>
      </c>
      <c r="H6" s="21" t="s">
        <v>288</v>
      </c>
      <c r="I6" s="20" t="s">
        <v>43</v>
      </c>
    </row>
    <row r="7" s="3" customFormat="1" ht="27.95" customHeight="1" spans="1:230">
      <c r="A7" s="23" t="s">
        <v>22</v>
      </c>
      <c r="B7" s="24">
        <f>+B8+B13+B14</f>
        <v>35.05</v>
      </c>
      <c r="C7" s="25">
        <f>C13+C14</f>
        <v>40</v>
      </c>
      <c r="D7" s="24">
        <f>D12+D13+D14</f>
        <v>7.47</v>
      </c>
      <c r="E7" s="25">
        <f>E13+E14</f>
        <v>30</v>
      </c>
      <c r="F7" s="24">
        <f>F12+F13+F14</f>
        <v>4.32</v>
      </c>
      <c r="G7" s="24">
        <f>D7+F7</f>
        <v>11.79</v>
      </c>
      <c r="H7" s="26">
        <v>2</v>
      </c>
      <c r="I7" s="24">
        <f>+I8+I13+I14</f>
        <v>23.26</v>
      </c>
      <c r="HR7" s="36"/>
      <c r="HS7" s="36"/>
      <c r="HT7" s="36"/>
      <c r="HU7" s="36"/>
      <c r="HV7" s="36"/>
    </row>
    <row r="8" s="3" customFormat="1" ht="27.95" customHeight="1" spans="1:230">
      <c r="A8" s="23" t="s">
        <v>23</v>
      </c>
      <c r="B8" s="24">
        <f t="shared" ref="B8:B14" si="0">G8+I8</f>
        <v>14.01</v>
      </c>
      <c r="C8" s="24"/>
      <c r="D8" s="24"/>
      <c r="E8" s="24"/>
      <c r="F8" s="24"/>
      <c r="G8" s="24">
        <f>+G12</f>
        <v>6.75</v>
      </c>
      <c r="H8" s="24"/>
      <c r="I8" s="24">
        <f>I9+I10+I11+I12</f>
        <v>7.26</v>
      </c>
      <c r="HR8" s="36"/>
      <c r="HS8" s="36"/>
      <c r="HT8" s="36"/>
      <c r="HU8" s="36"/>
      <c r="HV8" s="36"/>
    </row>
    <row r="9" s="2" customFormat="1" ht="27.95" customHeight="1" spans="1:230">
      <c r="A9" s="27" t="s">
        <v>24</v>
      </c>
      <c r="B9" s="24">
        <f t="shared" si="0"/>
        <v>2</v>
      </c>
      <c r="C9" s="28"/>
      <c r="D9" s="29"/>
      <c r="E9" s="28"/>
      <c r="F9" s="30"/>
      <c r="G9" s="24"/>
      <c r="H9" s="29"/>
      <c r="I9" s="29">
        <v>2</v>
      </c>
      <c r="J9" s="35"/>
      <c r="HR9" s="1"/>
      <c r="HS9" s="1"/>
      <c r="HT9" s="1"/>
      <c r="HU9" s="1"/>
      <c r="HV9" s="1"/>
    </row>
    <row r="10" s="2" customFormat="1" ht="27.95" customHeight="1" spans="1:230">
      <c r="A10" s="27" t="s">
        <v>25</v>
      </c>
      <c r="B10" s="24">
        <f t="shared" si="0"/>
        <v>1.5</v>
      </c>
      <c r="C10" s="28"/>
      <c r="D10" s="29"/>
      <c r="E10" s="28"/>
      <c r="F10" s="30"/>
      <c r="G10" s="24"/>
      <c r="H10" s="29"/>
      <c r="I10" s="29">
        <v>1.5</v>
      </c>
      <c r="J10" s="35"/>
      <c r="HR10" s="1"/>
      <c r="HS10" s="1"/>
      <c r="HT10" s="1"/>
      <c r="HU10" s="1"/>
      <c r="HV10" s="1"/>
    </row>
    <row r="11" s="2" customFormat="1" ht="35.1" customHeight="1" spans="1:230">
      <c r="A11" s="27" t="s">
        <v>26</v>
      </c>
      <c r="B11" s="24">
        <f t="shared" si="0"/>
        <v>0.5</v>
      </c>
      <c r="C11" s="28"/>
      <c r="D11" s="29"/>
      <c r="E11" s="28"/>
      <c r="F11" s="30"/>
      <c r="G11" s="24"/>
      <c r="H11" s="29"/>
      <c r="I11" s="29">
        <v>0.5</v>
      </c>
      <c r="J11" s="35"/>
      <c r="HR11" s="1"/>
      <c r="HS11" s="1"/>
      <c r="HT11" s="1"/>
      <c r="HU11" s="1"/>
      <c r="HV11" s="1"/>
    </row>
    <row r="12" s="2" customFormat="1" ht="51.95" customHeight="1" spans="1:230">
      <c r="A12" s="27" t="s">
        <v>27</v>
      </c>
      <c r="B12" s="24">
        <f t="shared" si="0"/>
        <v>10.01</v>
      </c>
      <c r="C12" s="28"/>
      <c r="D12" s="29">
        <v>3.87</v>
      </c>
      <c r="E12" s="28"/>
      <c r="F12" s="29">
        <v>2.88</v>
      </c>
      <c r="G12" s="29">
        <f t="shared" ref="G12:G14" si="1">D12+F12</f>
        <v>6.75</v>
      </c>
      <c r="H12" s="30"/>
      <c r="I12" s="29">
        <v>3.26</v>
      </c>
      <c r="HR12" s="1"/>
      <c r="HS12" s="1"/>
      <c r="HT12" s="1"/>
      <c r="HU12" s="1"/>
      <c r="HV12" s="1"/>
    </row>
    <row r="13" s="2" customFormat="1" ht="45" customHeight="1" spans="1:230">
      <c r="A13" s="23" t="s">
        <v>363</v>
      </c>
      <c r="B13" s="24">
        <f t="shared" si="0"/>
        <v>8</v>
      </c>
      <c r="C13" s="28">
        <v>15</v>
      </c>
      <c r="D13" s="29">
        <v>0</v>
      </c>
      <c r="E13" s="28">
        <v>20</v>
      </c>
      <c r="F13" s="29">
        <v>0</v>
      </c>
      <c r="G13" s="29">
        <f t="shared" si="1"/>
        <v>0</v>
      </c>
      <c r="H13" s="30">
        <v>1</v>
      </c>
      <c r="I13" s="29">
        <v>8</v>
      </c>
      <c r="HR13" s="1"/>
      <c r="HS13" s="1"/>
      <c r="HT13" s="1"/>
      <c r="HU13" s="1"/>
      <c r="HV13" s="1"/>
    </row>
    <row r="14" s="2" customFormat="1" ht="56.1" customHeight="1" spans="1:230">
      <c r="A14" s="23" t="s">
        <v>364</v>
      </c>
      <c r="B14" s="24">
        <f t="shared" si="0"/>
        <v>13.04</v>
      </c>
      <c r="C14" s="28">
        <v>25</v>
      </c>
      <c r="D14" s="29">
        <v>3.6</v>
      </c>
      <c r="E14" s="28">
        <v>10</v>
      </c>
      <c r="F14" s="29">
        <v>1.44</v>
      </c>
      <c r="G14" s="29">
        <f t="shared" si="1"/>
        <v>5.04</v>
      </c>
      <c r="H14" s="30">
        <v>1</v>
      </c>
      <c r="I14" s="29">
        <v>8</v>
      </c>
      <c r="HR14" s="1"/>
      <c r="HS14" s="1"/>
      <c r="HT14" s="1"/>
      <c r="HU14" s="1"/>
      <c r="HV14" s="1"/>
    </row>
    <row r="15" s="2" customFormat="1" ht="131.1" customHeight="1" spans="1:230">
      <c r="A15" s="31" t="s">
        <v>398</v>
      </c>
      <c r="B15" s="32"/>
      <c r="C15" s="32"/>
      <c r="D15" s="32"/>
      <c r="E15" s="32"/>
      <c r="F15" s="32"/>
      <c r="G15" s="32"/>
      <c r="H15" s="32"/>
      <c r="I15" s="32"/>
      <c r="HR15" s="1"/>
      <c r="HS15" s="1"/>
      <c r="HT15" s="1"/>
      <c r="HU15" s="1"/>
      <c r="HV15" s="1"/>
    </row>
    <row r="16" s="2" customFormat="1" ht="13.8"/>
    <row r="17" s="2" customFormat="1" ht="13.8"/>
    <row r="18" s="2" customFormat="1" ht="13.8"/>
    <row r="19" s="2" customFormat="1" ht="13.8"/>
    <row r="20" s="2" customFormat="1" ht="13.8"/>
    <row r="21" s="2" customFormat="1" ht="13.8"/>
    <row r="22" s="2" customFormat="1" ht="13.8"/>
    <row r="23" s="2" customFormat="1" ht="13.8"/>
    <row r="24" s="2" customFormat="1" ht="13.8"/>
    <row r="25" s="2" customFormat="1" ht="13.8"/>
    <row r="26" s="2" customFormat="1" ht="13.8"/>
    <row r="27" s="2" customFormat="1" ht="13.8"/>
    <row r="28" s="2" customFormat="1" ht="13.8"/>
    <row r="29" s="2" customFormat="1" ht="13.8"/>
    <row r="30" s="2" customFormat="1" ht="13.8"/>
    <row r="31" s="2" customFormat="1" ht="13.8"/>
    <row r="32" s="2" customFormat="1" ht="13.8"/>
    <row r="33" s="2" customFormat="1" ht="13.8"/>
    <row r="34" s="2" customFormat="1" ht="13.8"/>
    <row r="35" s="2" customFormat="1" ht="13.8"/>
    <row r="36" s="2" customFormat="1" ht="13.8"/>
    <row r="37" s="2" customFormat="1" ht="13.8"/>
    <row r="38" s="2" customFormat="1" ht="13.8"/>
    <row r="39" s="2" customFormat="1" ht="13.8"/>
    <row r="40" s="2" customFormat="1" ht="13.8"/>
    <row r="41" s="2" customFormat="1" ht="13.8"/>
    <row r="42" s="2" customFormat="1" ht="13.8"/>
    <row r="43" s="2" customFormat="1" ht="13.8"/>
    <row r="44" s="2" customFormat="1" ht="13.8"/>
    <row r="45" s="2" customFormat="1" ht="13.8"/>
    <row r="46" s="2" customFormat="1" ht="13.8"/>
    <row r="47" s="2" customFormat="1" ht="13.8"/>
    <row r="48" s="2" customFormat="1" ht="13.8"/>
    <row r="49" s="2" customFormat="1" ht="13.8"/>
    <row r="50" s="2" customFormat="1" ht="13.8"/>
    <row r="51" s="2" customFormat="1" ht="13.8"/>
    <row r="52" s="2" customFormat="1" ht="13.8"/>
    <row r="53" s="2" customFormat="1" ht="13.8"/>
    <row r="54" s="2" customFormat="1" ht="13.8"/>
    <row r="55" s="2" customFormat="1" ht="13.8"/>
    <row r="56" s="2" customFormat="1" ht="13.8"/>
    <row r="57" s="2" customFormat="1" ht="13.8"/>
    <row r="58" s="2" customFormat="1" ht="13.8"/>
    <row r="59" s="2" customFormat="1" ht="13.8"/>
    <row r="60" s="2" customFormat="1" ht="13.8"/>
    <row r="61" s="2" customFormat="1" ht="13.8"/>
    <row r="62" s="2" customFormat="1" ht="13.8"/>
    <row r="63" s="2" customFormat="1" ht="13.8"/>
    <row r="64" s="2" customFormat="1" ht="13.8"/>
    <row r="65" s="2" customFormat="1" ht="13.8"/>
    <row r="66" s="2" customFormat="1" ht="13.8"/>
    <row r="67" s="2" customFormat="1" ht="13.8"/>
    <row r="68" s="2" customFormat="1" ht="13.8"/>
    <row r="69" s="2" customFormat="1" ht="13.8"/>
    <row r="70" s="2" customFormat="1" ht="13.8"/>
    <row r="71" s="2" customFormat="1" ht="13.8"/>
    <row r="72" s="2" customFormat="1" ht="13.8"/>
    <row r="73" s="2" customFormat="1" ht="13.8"/>
    <row r="74" s="2" customFormat="1" ht="13.8"/>
    <row r="75" s="2" customFormat="1" ht="13.8"/>
    <row r="76" s="2" customFormat="1" ht="13.8"/>
    <row r="77" s="2" customFormat="1" ht="13.8"/>
    <row r="78" s="2" customFormat="1" ht="13.8"/>
    <row r="79" s="2" customFormat="1" ht="13.8"/>
    <row r="80" s="2" customFormat="1" ht="13.8"/>
    <row r="81" s="2" customFormat="1" ht="13.8"/>
    <row r="82" s="2" customFormat="1" ht="13.8"/>
    <row r="83" s="2" customFormat="1" ht="13.8"/>
    <row r="84" s="2" customFormat="1" ht="13.8"/>
    <row r="85" s="2" customFormat="1" ht="13.8"/>
    <row r="86" s="2" customFormat="1" ht="13.8"/>
    <row r="87" s="2" customFormat="1" ht="13.8"/>
    <row r="88" s="2" customFormat="1" ht="13.8"/>
    <row r="89" s="2" customFormat="1" ht="13.8"/>
    <row r="90" s="2" customFormat="1" ht="13.8"/>
    <row r="91" s="2" customFormat="1" ht="13.8"/>
    <row r="92" s="2" customFormat="1" ht="13.8"/>
    <row r="93" s="2" customFormat="1" ht="13.8"/>
    <row r="94" s="2" customFormat="1" ht="13.8"/>
    <row r="95" s="2" customFormat="1" ht="13.8"/>
    <row r="96" s="2" customFormat="1" ht="13.8"/>
    <row r="97" s="2" customFormat="1" ht="13.8"/>
    <row r="98" s="2" customFormat="1" ht="13.8"/>
    <row r="99" s="2" customFormat="1" ht="13.8"/>
    <row r="100" s="2" customFormat="1" ht="13.8"/>
    <row r="101" s="2" customFormat="1" ht="13.8"/>
    <row r="102" s="2" customFormat="1" ht="13.8"/>
    <row r="103" s="2" customFormat="1" ht="13.8"/>
    <row r="104" s="2" customFormat="1" ht="13.8"/>
    <row r="105" s="2" customFormat="1" ht="13.8"/>
    <row r="106" s="2" customFormat="1" ht="13.8"/>
    <row r="107" s="2" customFormat="1" ht="13.8"/>
    <row r="108" s="2" customFormat="1" ht="13.8"/>
    <row r="109" s="2" customFormat="1" ht="13.8"/>
    <row r="110" s="2" customFormat="1" ht="13.8"/>
    <row r="111" s="2" customFormat="1" ht="13.8"/>
    <row r="112" s="3" customFormat="1" ht="13.8"/>
    <row r="113" s="2" customFormat="1" ht="13.8"/>
    <row r="114" s="2" customFormat="1" ht="13.8"/>
    <row r="115" s="2" customFormat="1" ht="13.8"/>
    <row r="116" s="2" customFormat="1" ht="13.8"/>
    <row r="117" s="2" customFormat="1" ht="13.8"/>
    <row r="118" s="2" customFormat="1" ht="13.8"/>
    <row r="119" s="2" customFormat="1" ht="13.8"/>
    <row r="120" s="2" customFormat="1" ht="12.95" customHeight="1"/>
    <row r="121" s="2" customFormat="1" ht="13.8"/>
    <row r="122" s="2" customFormat="1" ht="13.8"/>
    <row r="123" s="2" customFormat="1" ht="13.8"/>
    <row r="124" s="2" customFormat="1" ht="13.8"/>
    <row r="125" s="2" customFormat="1" ht="13.8"/>
    <row r="126" s="2" customFormat="1" ht="13.8"/>
    <row r="127" s="2" customFormat="1" ht="13.8"/>
    <row r="128" s="2" customFormat="1" ht="13.8"/>
    <row r="129" s="2" customFormat="1" ht="255.95" customHeight="1"/>
    <row r="130" s="2" customFormat="1" ht="13.8"/>
    <row r="131" s="2" customFormat="1" ht="13.8"/>
    <row r="132" s="2" customFormat="1" ht="13.8"/>
    <row r="133" s="2" customFormat="1" ht="13.8"/>
    <row r="134" s="2" customFormat="1" ht="13.8"/>
    <row r="135" s="2" customFormat="1" ht="13.8"/>
    <row r="136" s="2" customFormat="1" ht="13.8"/>
    <row r="137" s="2" customFormat="1" ht="13.8"/>
    <row r="138" s="2" customFormat="1" ht="13.8"/>
    <row r="139" s="2" customFormat="1" ht="13.8"/>
    <row r="140" s="2" customFormat="1" ht="13.8"/>
    <row r="141" s="2" customFormat="1" ht="13.8"/>
    <row r="142" s="2" customFormat="1" ht="13.8"/>
    <row r="143" s="2" customFormat="1" ht="13.8"/>
    <row r="144" s="2" customFormat="1" ht="13.8"/>
    <row r="145" s="2" customFormat="1" ht="13.8"/>
    <row r="146" s="2" customFormat="1" ht="13.8"/>
    <row r="147" s="2" customFormat="1" ht="13.8"/>
    <row r="148" s="2" customFormat="1" ht="13.8"/>
    <row r="149" s="2" customFormat="1" ht="13.8"/>
    <row r="150" s="2" customFormat="1" ht="13.8"/>
    <row r="151" s="2" customFormat="1" ht="13.8"/>
    <row r="152" s="2" customFormat="1" ht="13.8"/>
    <row r="153" s="2" customFormat="1" ht="13.8"/>
    <row r="154" s="2" customFormat="1" ht="13.8"/>
    <row r="155" s="2" customFormat="1" ht="13.8"/>
    <row r="156" s="2" customFormat="1" ht="13.8"/>
    <row r="157" s="2" customFormat="1" ht="13.8"/>
    <row r="158" s="2" customFormat="1" ht="13.8"/>
    <row r="159" s="2" customFormat="1" ht="13.8"/>
    <row r="160" s="2" customFormat="1" ht="13.8"/>
    <row r="161" s="2" customFormat="1" ht="13.8"/>
    <row r="162" s="2" customFormat="1" ht="13.8"/>
    <row r="163" s="2" customFormat="1" ht="13.8"/>
    <row r="164" s="2" customFormat="1" ht="13.8"/>
    <row r="165" s="2" customFormat="1" ht="13.8"/>
    <row r="166" s="2" customFormat="1" ht="13.8"/>
    <row r="167" s="2" customFormat="1" ht="13.8"/>
    <row r="168" s="2" customFormat="1" ht="13.8"/>
    <row r="169" s="2" customFormat="1" ht="13.8"/>
    <row r="170" s="2" customFormat="1" ht="13.8"/>
    <row r="171" s="2" customFormat="1" ht="13.8"/>
    <row r="172" s="2" customFormat="1" ht="13.8"/>
    <row r="173" s="2" customFormat="1" ht="13.8"/>
    <row r="174" s="2" customFormat="1" ht="13.8"/>
    <row r="175" s="2" customFormat="1" ht="13.8"/>
    <row r="176" s="2" customFormat="1" ht="13.8"/>
    <row r="177" s="2" customFormat="1" ht="13.8"/>
    <row r="178" s="2" customFormat="1" ht="13.8"/>
    <row r="179" s="2" customFormat="1" ht="13.8"/>
    <row r="180" s="2" customFormat="1" ht="13.8"/>
    <row r="181" s="2" customFormat="1" ht="13.8"/>
    <row r="182" s="2" customFormat="1" ht="13.8"/>
    <row r="183" s="2" customFormat="1" ht="13.8"/>
    <row r="184" s="2" customFormat="1" ht="13.8"/>
    <row r="185" s="2" customFormat="1" ht="13.8"/>
    <row r="186" s="2" customFormat="1" ht="13.8"/>
    <row r="187" s="2" customFormat="1" ht="13.8"/>
    <row r="188" s="2" customFormat="1" ht="13.8"/>
    <row r="189" s="2" customFormat="1" ht="13.8"/>
    <row r="190" s="2" customFormat="1" ht="13.8"/>
    <row r="191" s="2" customFormat="1" ht="13.8"/>
    <row r="192" s="2" customFormat="1" ht="13.8"/>
    <row r="193" s="2" customFormat="1" ht="13.8"/>
    <row r="194" s="2" customFormat="1" ht="13.8"/>
    <row r="195" s="2" customFormat="1" ht="13.8"/>
    <row r="196" s="2" customFormat="1" ht="13.8"/>
    <row r="197" s="2" customFormat="1" ht="13.8"/>
    <row r="198" s="2" customFormat="1" ht="13.8"/>
    <row r="199" s="2" customFormat="1" ht="13.8"/>
    <row r="200" s="2" customFormat="1" ht="13.8"/>
    <row r="201" s="2" customFormat="1" ht="13.8"/>
    <row r="202" s="2" customFormat="1" ht="13.8"/>
    <row r="203" s="2" customFormat="1" ht="13.8"/>
    <row r="204" s="2" customFormat="1" ht="13.8"/>
    <row r="205" s="2" customFormat="1" ht="13.8"/>
    <row r="206" s="2" customFormat="1" ht="13.8"/>
    <row r="207" s="2" customFormat="1" ht="13.8"/>
    <row r="208" s="2" customFormat="1" ht="13.8"/>
    <row r="209" s="2" customFormat="1" ht="13.8"/>
    <row r="210" s="2" customFormat="1" ht="13.8"/>
    <row r="211" s="2" customFormat="1" ht="13.8"/>
    <row r="212" s="2" customFormat="1" ht="13.8"/>
    <row r="213" s="2" customFormat="1" ht="13.8"/>
    <row r="214" s="2" customFormat="1" ht="13.8"/>
    <row r="215" s="2" customFormat="1" ht="13.8"/>
    <row r="216" s="2" customFormat="1" ht="13.8"/>
    <row r="217" s="2" customFormat="1" ht="13.8"/>
    <row r="218" s="2" customFormat="1" ht="13.8"/>
    <row r="219" s="2" customFormat="1" ht="13.8"/>
    <row r="220" s="2" customFormat="1" ht="13.8"/>
    <row r="221" s="2" customFormat="1" ht="13.8"/>
    <row r="222" s="2" customFormat="1" ht="13.8"/>
    <row r="223" s="2" customFormat="1" ht="13.8"/>
    <row r="224" s="2" customFormat="1" ht="13.8"/>
    <row r="225" s="2" customFormat="1" ht="13.8"/>
    <row r="226" s="2" customFormat="1" ht="13.8"/>
    <row r="227" s="2" customFormat="1" ht="13.8"/>
    <row r="228" s="2" customFormat="1" ht="13.8"/>
    <row r="229" s="2" customFormat="1" ht="13.8"/>
    <row r="230" s="2" customFormat="1" ht="13.8"/>
    <row r="231" s="2" customFormat="1" ht="13.8"/>
    <row r="232" s="2" customFormat="1" ht="13.8"/>
    <row r="233" s="2" customFormat="1" ht="13.8"/>
    <row r="234" s="2" customFormat="1" ht="13.8"/>
    <row r="235" s="2" customFormat="1" ht="13.8"/>
    <row r="236" s="2" customFormat="1" ht="13.8"/>
    <row r="237" s="2" customFormat="1" ht="13.8"/>
    <row r="238" s="2" customFormat="1" ht="13.8"/>
    <row r="239" s="2" customFormat="1" ht="13.8"/>
    <row r="240" s="2" customFormat="1" ht="13.8"/>
    <row r="241" s="2" customFormat="1" ht="13.8"/>
    <row r="242" s="2" customFormat="1" ht="13.8"/>
    <row r="243" s="2" customFormat="1" ht="13.8"/>
    <row r="244" s="2" customFormat="1" ht="13.8"/>
    <row r="245" s="2" customFormat="1" ht="13.8"/>
    <row r="246" s="2" customFormat="1" ht="13.8"/>
    <row r="247" s="2" customFormat="1" ht="13.8"/>
    <row r="248" s="2" customFormat="1" ht="13.8"/>
    <row r="249" s="2" customFormat="1" ht="13.8"/>
    <row r="250" s="2" customFormat="1" ht="13.8"/>
    <row r="251" s="2" customFormat="1" ht="13.8"/>
    <row r="252" s="2" customFormat="1" ht="13.8"/>
    <row r="253" s="2" customFormat="1" ht="13.8"/>
    <row r="254" s="2" customFormat="1" ht="13.8"/>
    <row r="255" s="2" customFormat="1" ht="13.8"/>
    <row r="256" s="2" customFormat="1" ht="13.8"/>
    <row r="257" s="2" customFormat="1" ht="13.8"/>
  </sheetData>
  <mergeCells count="10">
    <mergeCell ref="A1:I1"/>
    <mergeCell ref="A2:I2"/>
    <mergeCell ref="A3:I3"/>
    <mergeCell ref="C4:G4"/>
    <mergeCell ref="C5:D5"/>
    <mergeCell ref="E5:F5"/>
    <mergeCell ref="A15:I15"/>
    <mergeCell ref="A4:A6"/>
    <mergeCell ref="B4:B6"/>
    <mergeCell ref="H4:I5"/>
  </mergeCells>
  <printOptions horizontalCentered="1"/>
  <pageMargins left="0.751388888888889" right="0.751388888888889" top="0.802777777777778" bottom="0.60625" header="0.5" footer="0.5"/>
  <pageSetup paperSize="9" scale="8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G15"/>
  <sheetViews>
    <sheetView zoomScale="70" zoomScaleNormal="70" workbookViewId="0">
      <selection activeCell="G14" sqref="G14:G15"/>
    </sheetView>
  </sheetViews>
  <sheetFormatPr defaultColWidth="9" defaultRowHeight="15.6" outlineLevelCol="6"/>
  <cols>
    <col min="1" max="1" width="27.5" customWidth="1"/>
    <col min="2" max="2" width="26.125" customWidth="1"/>
    <col min="3" max="3" width="17.625" customWidth="1"/>
    <col min="4" max="4" width="15.625" customWidth="1"/>
    <col min="5" max="5" width="17" customWidth="1"/>
    <col min="6" max="6" width="14.125" customWidth="1"/>
    <col min="7" max="7" width="19.5" customWidth="1"/>
  </cols>
  <sheetData>
    <row r="1" ht="33" customHeight="1" spans="1:1">
      <c r="A1" s="228" t="s">
        <v>50</v>
      </c>
    </row>
    <row r="2" ht="48.95" customHeight="1" spans="1:7">
      <c r="A2" s="484" t="s">
        <v>51</v>
      </c>
      <c r="B2" s="484"/>
      <c r="C2" s="484"/>
      <c r="D2" s="484"/>
      <c r="E2" s="484"/>
      <c r="F2" s="484"/>
      <c r="G2" s="484"/>
    </row>
    <row r="3" ht="24.95" customHeight="1" spans="2:7">
      <c r="B3" s="485"/>
      <c r="F3" s="485"/>
      <c r="G3" s="486" t="s">
        <v>3</v>
      </c>
    </row>
    <row r="4" ht="63" customHeight="1" spans="1:7">
      <c r="A4" s="487" t="s">
        <v>4</v>
      </c>
      <c r="B4" s="248" t="s">
        <v>52</v>
      </c>
      <c r="C4" s="248" t="s">
        <v>53</v>
      </c>
      <c r="D4" s="248" t="s">
        <v>54</v>
      </c>
      <c r="E4" s="248" t="s">
        <v>55</v>
      </c>
      <c r="F4" s="248" t="s">
        <v>56</v>
      </c>
      <c r="G4" s="248" t="s">
        <v>57</v>
      </c>
    </row>
    <row r="5" ht="29.1" customHeight="1" spans="1:7">
      <c r="A5" s="488" t="s">
        <v>22</v>
      </c>
      <c r="B5" s="489">
        <f>B6+B14+B15</f>
        <v>82.59</v>
      </c>
      <c r="C5" s="489">
        <v>79.11</v>
      </c>
      <c r="D5" s="489">
        <v>64.41</v>
      </c>
      <c r="E5" s="489" t="s">
        <v>58</v>
      </c>
      <c r="F5" s="490">
        <v>10</v>
      </c>
      <c r="G5" s="490">
        <f>B5+C5+D5+F5</f>
        <v>236.11</v>
      </c>
    </row>
    <row r="6" ht="29.1" customHeight="1" spans="1:7">
      <c r="A6" s="491" t="s">
        <v>23</v>
      </c>
      <c r="B6" s="489">
        <f>SUM(B7:B13)</f>
        <v>58.69</v>
      </c>
      <c r="C6" s="489">
        <f>SUM(C7:C13)</f>
        <v>55.46</v>
      </c>
      <c r="D6" s="489">
        <f>SUM(D7:D13)</f>
        <v>64.41</v>
      </c>
      <c r="E6" s="489">
        <f>SUM(E7:E13)</f>
        <v>0</v>
      </c>
      <c r="F6" s="489">
        <f>SUM(F7:F13)</f>
        <v>10</v>
      </c>
      <c r="G6" s="489">
        <f>SUM(B6:F6)</f>
        <v>188.56</v>
      </c>
    </row>
    <row r="7" ht="29.1" customHeight="1" spans="1:7">
      <c r="A7" s="492" t="s">
        <v>24</v>
      </c>
      <c r="B7" s="493">
        <v>15.35</v>
      </c>
      <c r="C7" s="493">
        <v>16.38</v>
      </c>
      <c r="D7" s="493"/>
      <c r="E7" s="493"/>
      <c r="F7" s="490"/>
      <c r="G7" s="489">
        <f t="shared" ref="G7:G15" si="0">SUM(B7:F7)</f>
        <v>31.73</v>
      </c>
    </row>
    <row r="8" ht="29.1" customHeight="1" spans="1:7">
      <c r="A8" s="492" t="s">
        <v>25</v>
      </c>
      <c r="B8" s="493"/>
      <c r="C8" s="493">
        <v>2.17</v>
      </c>
      <c r="D8" s="493"/>
      <c r="E8" s="493"/>
      <c r="F8" s="490"/>
      <c r="G8" s="489">
        <f t="shared" si="0"/>
        <v>2.17</v>
      </c>
    </row>
    <row r="9" ht="29.1" customHeight="1" spans="1:7">
      <c r="A9" s="492" t="s">
        <v>26</v>
      </c>
      <c r="B9" s="493"/>
      <c r="C9" s="493">
        <v>36.91</v>
      </c>
      <c r="D9" s="493"/>
      <c r="E9" s="493"/>
      <c r="F9" s="490"/>
      <c r="G9" s="489">
        <f t="shared" si="0"/>
        <v>36.91</v>
      </c>
    </row>
    <row r="10" ht="29.1" customHeight="1" spans="1:7">
      <c r="A10" s="492" t="s">
        <v>27</v>
      </c>
      <c r="B10" s="493">
        <v>28.07</v>
      </c>
      <c r="C10" s="493"/>
      <c r="D10" s="493"/>
      <c r="E10" s="493"/>
      <c r="F10" s="490"/>
      <c r="G10" s="489">
        <f t="shared" si="0"/>
        <v>28.07</v>
      </c>
    </row>
    <row r="11" ht="29.1" customHeight="1" spans="1:7">
      <c r="A11" s="492" t="s">
        <v>28</v>
      </c>
      <c r="B11" s="493">
        <v>15.27</v>
      </c>
      <c r="C11" s="493"/>
      <c r="D11" s="493"/>
      <c r="E11" s="493"/>
      <c r="F11" s="490"/>
      <c r="G11" s="489">
        <f t="shared" si="0"/>
        <v>15.27</v>
      </c>
    </row>
    <row r="12" ht="29.1" customHeight="1" spans="1:7">
      <c r="A12" s="492" t="s">
        <v>29</v>
      </c>
      <c r="B12" s="493"/>
      <c r="C12" s="493"/>
      <c r="D12" s="493">
        <v>64.41</v>
      </c>
      <c r="E12" s="493"/>
      <c r="F12" s="490"/>
      <c r="G12" s="489">
        <f t="shared" si="0"/>
        <v>64.41</v>
      </c>
    </row>
    <row r="13" ht="29.1" customHeight="1" spans="1:7">
      <c r="A13" s="492" t="s">
        <v>31</v>
      </c>
      <c r="B13" s="489"/>
      <c r="C13" s="489"/>
      <c r="D13" s="489"/>
      <c r="E13" s="489"/>
      <c r="F13" s="490">
        <v>10</v>
      </c>
      <c r="G13" s="489">
        <f t="shared" si="0"/>
        <v>10</v>
      </c>
    </row>
    <row r="14" ht="29.1" customHeight="1" spans="1:7">
      <c r="A14" s="491" t="s">
        <v>32</v>
      </c>
      <c r="B14" s="489">
        <v>7.13</v>
      </c>
      <c r="C14" s="489">
        <v>13.24</v>
      </c>
      <c r="D14" s="489"/>
      <c r="E14" s="489"/>
      <c r="F14" s="490"/>
      <c r="G14" s="489">
        <f t="shared" si="0"/>
        <v>20.37</v>
      </c>
    </row>
    <row r="15" ht="29.1" customHeight="1" spans="1:7">
      <c r="A15" s="491" t="s">
        <v>33</v>
      </c>
      <c r="B15" s="489">
        <v>16.77</v>
      </c>
      <c r="C15" s="489">
        <v>10.41</v>
      </c>
      <c r="D15" s="489"/>
      <c r="E15" s="489"/>
      <c r="F15" s="490"/>
      <c r="G15" s="489">
        <f t="shared" si="0"/>
        <v>27.18</v>
      </c>
    </row>
  </sheetData>
  <mergeCells count="1">
    <mergeCell ref="A2:G2"/>
  </mergeCells>
  <printOptions horizontalCentered="1"/>
  <pageMargins left="0.747916666666667" right="0.747916666666667" top="0.786805555555556" bottom="0.984027777777778" header="0.511805555555556" footer="0.511805555555556"/>
  <pageSetup paperSize="9" scale="88"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AK27"/>
  <sheetViews>
    <sheetView zoomScale="70" zoomScaleNormal="70" zoomScaleSheetLayoutView="55" workbookViewId="0">
      <selection activeCell="J16" sqref="J16"/>
    </sheetView>
  </sheetViews>
  <sheetFormatPr defaultColWidth="9" defaultRowHeight="15.6"/>
  <cols>
    <col min="1" max="1" width="22.625" style="431" customWidth="1"/>
    <col min="2" max="2" width="23.375" style="430" customWidth="1"/>
    <col min="3" max="5" width="9" style="431"/>
    <col min="6" max="6" width="9.875" style="432"/>
    <col min="7" max="7" width="11.375" style="431"/>
    <col min="8" max="8" width="9" style="432"/>
    <col min="9" max="9" width="11.375" style="431"/>
    <col min="10" max="10" width="9" style="432"/>
    <col min="11" max="12" width="9" style="431"/>
    <col min="13" max="13" width="9" style="433"/>
    <col min="14" max="14" width="9.875" style="431"/>
    <col min="15" max="15" width="9" style="431"/>
    <col min="16" max="16" width="9.875" style="432"/>
    <col min="17" max="17" width="9" style="431"/>
    <col min="18" max="18" width="9.875" style="432"/>
    <col min="19" max="19" width="11.375" style="431"/>
    <col min="20" max="20" width="9" style="432"/>
    <col min="21" max="22" width="9" style="431"/>
    <col min="23" max="23" width="9.375" style="431"/>
    <col min="24" max="24" width="9" style="432"/>
    <col min="25" max="25" width="14.5" style="431"/>
    <col min="26" max="26" width="10.75" style="431" customWidth="1"/>
    <col min="27" max="27" width="11.375" style="431"/>
    <col min="28" max="28" width="9.875" style="432"/>
    <col min="29" max="29" width="13" style="431" customWidth="1"/>
    <col min="30" max="30" width="9.125" style="431" customWidth="1"/>
    <col min="31" max="31" width="10.75" style="431" customWidth="1"/>
    <col min="32" max="32" width="8.125" style="431" customWidth="1"/>
    <col min="33" max="33" width="10.875" style="431" customWidth="1"/>
    <col min="34" max="34" width="9" style="432"/>
    <col min="35" max="35" width="9" style="431"/>
    <col min="36" max="36" width="9.875" style="431"/>
    <col min="37" max="16384" width="9" style="431"/>
  </cols>
  <sheetData>
    <row r="1" ht="35.1" customHeight="1" spans="1:35">
      <c r="A1" s="434" t="s">
        <v>59</v>
      </c>
      <c r="B1" s="435"/>
      <c r="C1" s="436"/>
      <c r="D1" s="436"/>
      <c r="E1" s="437"/>
      <c r="F1" s="436"/>
      <c r="G1" s="437"/>
      <c r="H1" s="436"/>
      <c r="I1" s="437"/>
      <c r="J1" s="436"/>
      <c r="K1" s="437"/>
      <c r="L1" s="437"/>
      <c r="M1" s="461"/>
      <c r="N1" s="437"/>
      <c r="O1" s="437"/>
      <c r="P1" s="436"/>
      <c r="Q1" s="437"/>
      <c r="R1" s="437"/>
      <c r="S1" s="436"/>
      <c r="T1" s="437"/>
      <c r="U1" s="437"/>
      <c r="V1" s="437"/>
      <c r="W1" s="436"/>
      <c r="X1" s="437"/>
      <c r="Y1" s="437"/>
      <c r="Z1" s="437"/>
      <c r="AA1" s="436"/>
      <c r="AB1" s="437"/>
      <c r="AC1" s="437"/>
      <c r="AD1" s="437"/>
      <c r="AE1" s="437"/>
      <c r="AF1" s="470"/>
      <c r="AG1" s="470"/>
      <c r="AH1" s="470"/>
      <c r="AI1" s="479"/>
    </row>
    <row r="2" ht="39.95" customHeight="1" spans="1:37">
      <c r="A2" s="438" t="s">
        <v>60</v>
      </c>
      <c r="B2" s="438"/>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row>
    <row r="3" ht="32.1" customHeight="1" spans="1:37">
      <c r="A3" s="439"/>
      <c r="B3" s="368"/>
      <c r="C3" s="439"/>
      <c r="D3" s="439"/>
      <c r="E3" s="439"/>
      <c r="F3" s="440"/>
      <c r="G3" s="439"/>
      <c r="H3" s="440"/>
      <c r="I3" s="439"/>
      <c r="J3" s="440"/>
      <c r="K3" s="439"/>
      <c r="L3" s="439"/>
      <c r="M3" s="440"/>
      <c r="N3" s="439"/>
      <c r="O3" s="439"/>
      <c r="P3" s="440"/>
      <c r="Q3" s="439"/>
      <c r="R3" s="439"/>
      <c r="S3" s="440"/>
      <c r="T3" s="439"/>
      <c r="U3" s="439"/>
      <c r="V3" s="439"/>
      <c r="W3" s="440"/>
      <c r="X3" s="439"/>
      <c r="Y3" s="439"/>
      <c r="Z3" s="439"/>
      <c r="AA3" s="440"/>
      <c r="AB3" s="439"/>
      <c r="AC3" s="439"/>
      <c r="AD3" s="439"/>
      <c r="AE3" s="439"/>
      <c r="AG3" s="480"/>
      <c r="AH3" s="480"/>
      <c r="AI3" s="480"/>
      <c r="AJ3" s="480"/>
      <c r="AK3" s="481" t="s">
        <v>3</v>
      </c>
    </row>
    <row r="4" s="430" customFormat="1" ht="72.95" customHeight="1" spans="1:37">
      <c r="A4" s="441" t="s">
        <v>61</v>
      </c>
      <c r="B4" s="442" t="s">
        <v>62</v>
      </c>
      <c r="C4" s="443" t="s">
        <v>63</v>
      </c>
      <c r="D4" s="444"/>
      <c r="E4" s="444"/>
      <c r="F4" s="445"/>
      <c r="G4" s="443" t="s">
        <v>64</v>
      </c>
      <c r="H4" s="445"/>
      <c r="I4" s="443" t="s">
        <v>65</v>
      </c>
      <c r="J4" s="444"/>
      <c r="K4" s="445"/>
      <c r="L4" s="443" t="s">
        <v>66</v>
      </c>
      <c r="M4" s="445"/>
      <c r="N4" s="443" t="s">
        <v>67</v>
      </c>
      <c r="O4" s="444"/>
      <c r="P4" s="445"/>
      <c r="Q4" s="443" t="s">
        <v>68</v>
      </c>
      <c r="R4" s="445"/>
      <c r="S4" s="443" t="s">
        <v>69</v>
      </c>
      <c r="T4" s="445"/>
      <c r="U4" s="443" t="s">
        <v>70</v>
      </c>
      <c r="V4" s="445"/>
      <c r="W4" s="465" t="s">
        <v>71</v>
      </c>
      <c r="X4" s="466"/>
      <c r="Y4" s="466"/>
      <c r="Z4" s="471"/>
      <c r="AA4" s="472" t="s">
        <v>72</v>
      </c>
      <c r="AB4" s="473"/>
      <c r="AC4" s="473"/>
      <c r="AD4" s="473"/>
      <c r="AE4" s="474"/>
      <c r="AF4" s="443" t="s">
        <v>73</v>
      </c>
      <c r="AG4" s="444"/>
      <c r="AH4" s="445"/>
      <c r="AI4" s="472" t="s">
        <v>74</v>
      </c>
      <c r="AJ4" s="473"/>
      <c r="AK4" s="474"/>
    </row>
    <row r="5" s="430" customFormat="1" ht="92.1" customHeight="1" spans="1:37">
      <c r="A5" s="446"/>
      <c r="B5" s="447"/>
      <c r="C5" s="448" t="s">
        <v>75</v>
      </c>
      <c r="D5" s="448" t="s">
        <v>76</v>
      </c>
      <c r="E5" s="449" t="s">
        <v>77</v>
      </c>
      <c r="F5" s="448" t="s">
        <v>78</v>
      </c>
      <c r="G5" s="450" t="s">
        <v>79</v>
      </c>
      <c r="H5" s="448" t="s">
        <v>78</v>
      </c>
      <c r="I5" s="462" t="s">
        <v>80</v>
      </c>
      <c r="J5" s="462" t="s">
        <v>81</v>
      </c>
      <c r="K5" s="448" t="s">
        <v>78</v>
      </c>
      <c r="L5" s="48" t="s">
        <v>82</v>
      </c>
      <c r="M5" s="448" t="s">
        <v>78</v>
      </c>
      <c r="N5" s="48" t="s">
        <v>83</v>
      </c>
      <c r="O5" s="48" t="s">
        <v>84</v>
      </c>
      <c r="P5" s="448" t="s">
        <v>78</v>
      </c>
      <c r="Q5" s="467" t="s">
        <v>85</v>
      </c>
      <c r="R5" s="448" t="s">
        <v>78</v>
      </c>
      <c r="S5" s="468" t="s">
        <v>86</v>
      </c>
      <c r="T5" s="448" t="s">
        <v>78</v>
      </c>
      <c r="U5" s="48" t="s">
        <v>87</v>
      </c>
      <c r="V5" s="448" t="s">
        <v>78</v>
      </c>
      <c r="W5" s="467" t="s">
        <v>85</v>
      </c>
      <c r="X5" s="48" t="s">
        <v>88</v>
      </c>
      <c r="Y5" s="475" t="s">
        <v>89</v>
      </c>
      <c r="Z5" s="475" t="s">
        <v>78</v>
      </c>
      <c r="AA5" s="476" t="s">
        <v>90</v>
      </c>
      <c r="AB5" s="476" t="s">
        <v>91</v>
      </c>
      <c r="AC5" s="476" t="s">
        <v>92</v>
      </c>
      <c r="AD5" s="476" t="s">
        <v>93</v>
      </c>
      <c r="AE5" s="448" t="s">
        <v>78</v>
      </c>
      <c r="AF5" s="477" t="s">
        <v>94</v>
      </c>
      <c r="AG5" s="477" t="s">
        <v>95</v>
      </c>
      <c r="AH5" s="448" t="s">
        <v>78</v>
      </c>
      <c r="AI5" s="467" t="s">
        <v>85</v>
      </c>
      <c r="AJ5" s="476" t="s">
        <v>96</v>
      </c>
      <c r="AK5" s="448" t="s">
        <v>78</v>
      </c>
    </row>
    <row r="6" ht="33.95" customHeight="1" spans="1:37">
      <c r="A6" s="167" t="s">
        <v>97</v>
      </c>
      <c r="B6" s="451">
        <f>F6+H6+K6+P6+R6+T6+V6+Z6+AE6+AK6</f>
        <v>82.59</v>
      </c>
      <c r="C6" s="452">
        <v>2</v>
      </c>
      <c r="D6" s="453">
        <v>1</v>
      </c>
      <c r="E6" s="453">
        <v>7</v>
      </c>
      <c r="F6" s="65">
        <f>F8+F9+F10</f>
        <v>14</v>
      </c>
      <c r="G6" s="452">
        <v>447</v>
      </c>
      <c r="H6" s="65">
        <f>H9</f>
        <v>1.2</v>
      </c>
      <c r="I6" s="452">
        <v>332</v>
      </c>
      <c r="J6" s="452">
        <v>2</v>
      </c>
      <c r="K6" s="65">
        <f>K9+K10+K15+K16+K17</f>
        <v>3.26</v>
      </c>
      <c r="L6" s="453"/>
      <c r="M6" s="456"/>
      <c r="N6" s="452">
        <v>25</v>
      </c>
      <c r="O6" s="453">
        <v>1</v>
      </c>
      <c r="P6" s="65">
        <f>P9+P16</f>
        <v>7</v>
      </c>
      <c r="Q6" s="453">
        <v>2</v>
      </c>
      <c r="R6" s="65">
        <f>R9+R16+R12</f>
        <v>10.26</v>
      </c>
      <c r="S6" s="453">
        <v>894</v>
      </c>
      <c r="T6" s="65">
        <f>T9+T10+T16</f>
        <v>6.86</v>
      </c>
      <c r="U6" s="453">
        <v>1</v>
      </c>
      <c r="V6" s="65">
        <f>V13</f>
        <v>4</v>
      </c>
      <c r="W6" s="453">
        <v>2</v>
      </c>
      <c r="X6" s="453"/>
      <c r="Y6" s="453">
        <v>13987</v>
      </c>
      <c r="Z6" s="478">
        <f>Z10+Z16</f>
        <v>6.15</v>
      </c>
      <c r="AA6" s="453">
        <v>319</v>
      </c>
      <c r="AB6" s="453">
        <v>22</v>
      </c>
      <c r="AC6" s="453">
        <v>244</v>
      </c>
      <c r="AD6" s="453">
        <v>4</v>
      </c>
      <c r="AE6" s="478">
        <f>AE8+AE9+AE15+AE16</f>
        <v>19.35</v>
      </c>
      <c r="AF6" s="453"/>
      <c r="AG6" s="453"/>
      <c r="AH6" s="453"/>
      <c r="AI6" s="453">
        <v>2</v>
      </c>
      <c r="AJ6" s="453">
        <v>102</v>
      </c>
      <c r="AK6" s="478">
        <f>AK8+AK9+AK15+AK16</f>
        <v>10.51</v>
      </c>
    </row>
    <row r="7" ht="45" customHeight="1" spans="1:37">
      <c r="A7" s="454" t="s">
        <v>23</v>
      </c>
      <c r="B7" s="451">
        <f>B8+B9+B10</f>
        <v>58.69</v>
      </c>
      <c r="C7" s="451">
        <f t="shared" ref="C7:AK7" si="0">C8+C9+C10</f>
        <v>2</v>
      </c>
      <c r="D7" s="451">
        <f t="shared" si="0"/>
        <v>1</v>
      </c>
      <c r="E7" s="451">
        <f t="shared" si="0"/>
        <v>7</v>
      </c>
      <c r="F7" s="451">
        <f t="shared" si="0"/>
        <v>14</v>
      </c>
      <c r="G7" s="451">
        <f t="shared" si="0"/>
        <v>447</v>
      </c>
      <c r="H7" s="451">
        <f t="shared" si="0"/>
        <v>1.2</v>
      </c>
      <c r="I7" s="451">
        <f t="shared" si="0"/>
        <v>302</v>
      </c>
      <c r="J7" s="451">
        <f t="shared" si="0"/>
        <v>2</v>
      </c>
      <c r="K7" s="451">
        <f t="shared" si="0"/>
        <v>2.96</v>
      </c>
      <c r="L7" s="451">
        <f t="shared" si="0"/>
        <v>0</v>
      </c>
      <c r="M7" s="451">
        <f t="shared" si="0"/>
        <v>0</v>
      </c>
      <c r="N7" s="451">
        <f t="shared" si="0"/>
        <v>16</v>
      </c>
      <c r="O7" s="451">
        <f t="shared" si="0"/>
        <v>1</v>
      </c>
      <c r="P7" s="451">
        <f t="shared" si="0"/>
        <v>5</v>
      </c>
      <c r="Q7" s="451">
        <f t="shared" si="0"/>
        <v>0</v>
      </c>
      <c r="R7" s="451">
        <f t="shared" si="0"/>
        <v>4</v>
      </c>
      <c r="S7" s="451">
        <f t="shared" si="0"/>
        <v>774</v>
      </c>
      <c r="T7" s="451">
        <f t="shared" si="0"/>
        <v>5.94</v>
      </c>
      <c r="U7" s="451">
        <f t="shared" si="0"/>
        <v>0</v>
      </c>
      <c r="V7" s="451">
        <f t="shared" si="0"/>
        <v>0</v>
      </c>
      <c r="W7" s="451">
        <f t="shared" si="0"/>
        <v>1</v>
      </c>
      <c r="X7" s="451">
        <f t="shared" si="0"/>
        <v>0</v>
      </c>
      <c r="Y7" s="451">
        <f t="shared" si="0"/>
        <v>13187</v>
      </c>
      <c r="Z7" s="451">
        <f t="shared" si="0"/>
        <v>5.55</v>
      </c>
      <c r="AA7" s="451">
        <f t="shared" si="0"/>
        <v>150</v>
      </c>
      <c r="AB7" s="451">
        <f t="shared" si="0"/>
        <v>15</v>
      </c>
      <c r="AC7" s="451">
        <f t="shared" si="0"/>
        <v>230</v>
      </c>
      <c r="AD7" s="451">
        <f t="shared" si="0"/>
        <v>3</v>
      </c>
      <c r="AE7" s="451">
        <f t="shared" si="0"/>
        <v>14.59</v>
      </c>
      <c r="AF7" s="451">
        <f t="shared" si="0"/>
        <v>0</v>
      </c>
      <c r="AG7" s="451">
        <f t="shared" si="0"/>
        <v>0</v>
      </c>
      <c r="AH7" s="451">
        <f t="shared" si="0"/>
        <v>0</v>
      </c>
      <c r="AI7" s="451">
        <f t="shared" si="0"/>
        <v>1</v>
      </c>
      <c r="AJ7" s="451">
        <f t="shared" si="0"/>
        <v>90</v>
      </c>
      <c r="AK7" s="451">
        <f t="shared" si="0"/>
        <v>5.45</v>
      </c>
    </row>
    <row r="8" ht="45" customHeight="1" spans="1:37">
      <c r="A8" s="455" t="s">
        <v>98</v>
      </c>
      <c r="B8" s="456">
        <f>F8+H8+K8+P8+R8+T8+V8+Z8+AE8+AK8</f>
        <v>15.35</v>
      </c>
      <c r="C8" s="453"/>
      <c r="D8" s="453">
        <v>1</v>
      </c>
      <c r="E8" s="453"/>
      <c r="F8" s="65">
        <v>4</v>
      </c>
      <c r="G8" s="453"/>
      <c r="H8" s="456"/>
      <c r="I8" s="452"/>
      <c r="J8" s="456"/>
      <c r="K8" s="453"/>
      <c r="L8" s="453"/>
      <c r="M8" s="456"/>
      <c r="N8" s="453"/>
      <c r="O8" s="453"/>
      <c r="P8" s="456"/>
      <c r="Q8" s="453"/>
      <c r="R8" s="452"/>
      <c r="S8" s="456"/>
      <c r="T8" s="453"/>
      <c r="U8" s="453"/>
      <c r="V8" s="453"/>
      <c r="W8" s="456"/>
      <c r="X8" s="453"/>
      <c r="Y8" s="453"/>
      <c r="Z8" s="453"/>
      <c r="AA8" s="456"/>
      <c r="AB8" s="453"/>
      <c r="AC8" s="453">
        <v>230</v>
      </c>
      <c r="AD8" s="453">
        <v>3</v>
      </c>
      <c r="AE8" s="463">
        <v>10.9</v>
      </c>
      <c r="AF8" s="453"/>
      <c r="AG8" s="453"/>
      <c r="AH8" s="453"/>
      <c r="AI8" s="456"/>
      <c r="AJ8" s="453">
        <v>90</v>
      </c>
      <c r="AK8" s="482">
        <v>0.45</v>
      </c>
    </row>
    <row r="9" s="430" customFormat="1" ht="47.1" customHeight="1" spans="1:37">
      <c r="A9" s="455" t="s">
        <v>99</v>
      </c>
      <c r="B9" s="456">
        <f t="shared" ref="B9:B10" si="1">F9+H9+K9+P9+R9+T9+V9+Z9+AE9+AK9</f>
        <v>28.07</v>
      </c>
      <c r="C9" s="453">
        <v>1</v>
      </c>
      <c r="D9" s="453"/>
      <c r="E9" s="453">
        <v>7</v>
      </c>
      <c r="F9" s="65">
        <v>7</v>
      </c>
      <c r="G9" s="453">
        <v>447</v>
      </c>
      <c r="H9" s="456">
        <v>1.2</v>
      </c>
      <c r="I9" s="452">
        <v>182</v>
      </c>
      <c r="J9" s="452">
        <v>2</v>
      </c>
      <c r="K9" s="463">
        <v>1.8</v>
      </c>
      <c r="L9" s="453"/>
      <c r="M9" s="456"/>
      <c r="N9" s="453">
        <v>16</v>
      </c>
      <c r="O9" s="453">
        <v>1</v>
      </c>
      <c r="P9" s="456">
        <v>5</v>
      </c>
      <c r="Q9" s="453"/>
      <c r="R9" s="456">
        <v>4</v>
      </c>
      <c r="S9" s="453">
        <v>50</v>
      </c>
      <c r="T9" s="456">
        <v>0.38</v>
      </c>
      <c r="U9" s="453"/>
      <c r="V9" s="453"/>
      <c r="W9" s="453"/>
      <c r="X9" s="453"/>
      <c r="Y9" s="453"/>
      <c r="Z9" s="453"/>
      <c r="AA9" s="453">
        <v>150</v>
      </c>
      <c r="AB9" s="453">
        <v>15</v>
      </c>
      <c r="AC9" s="453"/>
      <c r="AD9" s="453"/>
      <c r="AE9" s="453">
        <v>3.69</v>
      </c>
      <c r="AF9" s="453"/>
      <c r="AG9" s="453"/>
      <c r="AH9" s="453"/>
      <c r="AI9" s="453">
        <v>1</v>
      </c>
      <c r="AJ9" s="73"/>
      <c r="AK9" s="456">
        <v>5</v>
      </c>
    </row>
    <row r="10" ht="45" customHeight="1" spans="1:37">
      <c r="A10" s="455" t="s">
        <v>100</v>
      </c>
      <c r="B10" s="456">
        <f t="shared" si="1"/>
        <v>15.27</v>
      </c>
      <c r="C10" s="453">
        <v>1</v>
      </c>
      <c r="D10" s="457"/>
      <c r="E10" s="457"/>
      <c r="F10" s="65">
        <v>3</v>
      </c>
      <c r="G10" s="457"/>
      <c r="H10" s="457"/>
      <c r="I10" s="452">
        <v>120</v>
      </c>
      <c r="J10" s="457"/>
      <c r="K10" s="453">
        <v>1.16</v>
      </c>
      <c r="L10" s="457"/>
      <c r="M10" s="464"/>
      <c r="N10" s="457"/>
      <c r="O10" s="457"/>
      <c r="P10" s="457"/>
      <c r="Q10" s="457"/>
      <c r="R10" s="457"/>
      <c r="S10" s="453">
        <v>724</v>
      </c>
      <c r="T10" s="456">
        <v>5.56</v>
      </c>
      <c r="U10" s="457"/>
      <c r="V10" s="457"/>
      <c r="W10" s="464">
        <v>1</v>
      </c>
      <c r="X10" s="457"/>
      <c r="Y10" s="464">
        <v>13187</v>
      </c>
      <c r="Z10" s="464">
        <v>5.55</v>
      </c>
      <c r="AA10" s="453"/>
      <c r="AB10" s="457"/>
      <c r="AC10" s="457"/>
      <c r="AD10" s="457"/>
      <c r="AE10" s="453"/>
      <c r="AF10" s="457"/>
      <c r="AG10" s="457"/>
      <c r="AH10" s="457"/>
      <c r="AI10" s="457"/>
      <c r="AJ10" s="458"/>
      <c r="AK10" s="482"/>
    </row>
    <row r="11" s="430" customFormat="1" ht="33.95" customHeight="1" spans="1:37">
      <c r="A11" s="454" t="s">
        <v>32</v>
      </c>
      <c r="B11" s="451">
        <f>B13+B12</f>
        <v>7.13</v>
      </c>
      <c r="C11" s="451">
        <f t="shared" ref="C11:AK11" si="2">C13+C12</f>
        <v>0</v>
      </c>
      <c r="D11" s="451">
        <f t="shared" si="2"/>
        <v>0</v>
      </c>
      <c r="E11" s="451">
        <f t="shared" si="2"/>
        <v>0</v>
      </c>
      <c r="F11" s="451">
        <f t="shared" si="2"/>
        <v>0</v>
      </c>
      <c r="G11" s="451">
        <f t="shared" si="2"/>
        <v>0</v>
      </c>
      <c r="H11" s="451">
        <f t="shared" si="2"/>
        <v>0</v>
      </c>
      <c r="I11" s="451">
        <f t="shared" si="2"/>
        <v>0</v>
      </c>
      <c r="J11" s="451">
        <f t="shared" si="2"/>
        <v>0</v>
      </c>
      <c r="K11" s="451">
        <f t="shared" si="2"/>
        <v>0</v>
      </c>
      <c r="L11" s="451">
        <f t="shared" si="2"/>
        <v>0</v>
      </c>
      <c r="M11" s="451">
        <f t="shared" si="2"/>
        <v>0</v>
      </c>
      <c r="N11" s="451">
        <f t="shared" si="2"/>
        <v>0</v>
      </c>
      <c r="O11" s="451">
        <f t="shared" si="2"/>
        <v>0</v>
      </c>
      <c r="P11" s="451">
        <f t="shared" si="2"/>
        <v>0</v>
      </c>
      <c r="Q11" s="451">
        <f t="shared" si="2"/>
        <v>1</v>
      </c>
      <c r="R11" s="451">
        <f t="shared" si="2"/>
        <v>3.13</v>
      </c>
      <c r="S11" s="451">
        <f t="shared" si="2"/>
        <v>0</v>
      </c>
      <c r="T11" s="451">
        <f t="shared" si="2"/>
        <v>0</v>
      </c>
      <c r="U11" s="451">
        <f t="shared" si="2"/>
        <v>1</v>
      </c>
      <c r="V11" s="451">
        <f t="shared" si="2"/>
        <v>4</v>
      </c>
      <c r="W11" s="451">
        <f t="shared" si="2"/>
        <v>0</v>
      </c>
      <c r="X11" s="451">
        <f t="shared" si="2"/>
        <v>0</v>
      </c>
      <c r="Y11" s="451">
        <f t="shared" si="2"/>
        <v>0</v>
      </c>
      <c r="Z11" s="451">
        <f t="shared" si="2"/>
        <v>0</v>
      </c>
      <c r="AA11" s="451">
        <f t="shared" si="2"/>
        <v>0</v>
      </c>
      <c r="AB11" s="451">
        <f t="shared" si="2"/>
        <v>0</v>
      </c>
      <c r="AC11" s="451">
        <f t="shared" si="2"/>
        <v>0</v>
      </c>
      <c r="AD11" s="451">
        <f t="shared" si="2"/>
        <v>0</v>
      </c>
      <c r="AE11" s="451">
        <f t="shared" si="2"/>
        <v>0</v>
      </c>
      <c r="AF11" s="451">
        <f t="shared" si="2"/>
        <v>0</v>
      </c>
      <c r="AG11" s="451">
        <f t="shared" si="2"/>
        <v>0</v>
      </c>
      <c r="AH11" s="451">
        <f t="shared" si="2"/>
        <v>0</v>
      </c>
      <c r="AI11" s="451">
        <f t="shared" si="2"/>
        <v>0</v>
      </c>
      <c r="AJ11" s="451">
        <f t="shared" si="2"/>
        <v>0</v>
      </c>
      <c r="AK11" s="451">
        <f t="shared" si="2"/>
        <v>0</v>
      </c>
    </row>
    <row r="12" ht="54" customHeight="1" spans="1:37">
      <c r="A12" s="455" t="s">
        <v>101</v>
      </c>
      <c r="B12" s="456">
        <f t="shared" ref="B12:B17" si="3">F12+H12+K12+P12+R12+T12+V12+Z12+AE12+AK12</f>
        <v>3.13</v>
      </c>
      <c r="C12" s="458"/>
      <c r="D12" s="458"/>
      <c r="E12" s="458"/>
      <c r="F12" s="65"/>
      <c r="G12" s="458"/>
      <c r="H12" s="459"/>
      <c r="I12" s="458"/>
      <c r="J12" s="459"/>
      <c r="K12" s="453"/>
      <c r="L12" s="458"/>
      <c r="M12" s="224"/>
      <c r="N12" s="458"/>
      <c r="O12" s="458"/>
      <c r="P12" s="459"/>
      <c r="Q12" s="469">
        <v>1</v>
      </c>
      <c r="R12" s="469">
        <v>3.13</v>
      </c>
      <c r="S12" s="453"/>
      <c r="T12" s="456"/>
      <c r="U12" s="458"/>
      <c r="V12" s="458"/>
      <c r="W12" s="459"/>
      <c r="X12" s="458"/>
      <c r="Y12" s="458"/>
      <c r="Z12" s="464"/>
      <c r="AA12" s="453"/>
      <c r="AB12" s="458"/>
      <c r="AC12" s="458"/>
      <c r="AD12" s="458"/>
      <c r="AE12" s="453"/>
      <c r="AF12" s="458"/>
      <c r="AG12" s="458"/>
      <c r="AH12" s="458"/>
      <c r="AI12" s="459"/>
      <c r="AJ12" s="483"/>
      <c r="AK12" s="482"/>
    </row>
    <row r="13" ht="45" customHeight="1" spans="1:37">
      <c r="A13" s="455" t="s">
        <v>102</v>
      </c>
      <c r="B13" s="456">
        <f t="shared" si="3"/>
        <v>4</v>
      </c>
      <c r="C13" s="458"/>
      <c r="D13" s="458"/>
      <c r="E13" s="458"/>
      <c r="F13" s="65"/>
      <c r="G13" s="458"/>
      <c r="H13" s="459"/>
      <c r="I13" s="458"/>
      <c r="J13" s="459"/>
      <c r="K13" s="453"/>
      <c r="L13" s="458"/>
      <c r="M13" s="224"/>
      <c r="N13" s="458"/>
      <c r="O13" s="458"/>
      <c r="P13" s="459"/>
      <c r="Q13" s="458"/>
      <c r="R13" s="458"/>
      <c r="S13" s="453"/>
      <c r="T13" s="456"/>
      <c r="U13" s="453">
        <v>1</v>
      </c>
      <c r="V13" s="456">
        <v>4</v>
      </c>
      <c r="W13" s="459"/>
      <c r="X13" s="458"/>
      <c r="Y13" s="458"/>
      <c r="Z13" s="464"/>
      <c r="AA13" s="453"/>
      <c r="AB13" s="458"/>
      <c r="AC13" s="458"/>
      <c r="AD13" s="458"/>
      <c r="AE13" s="453"/>
      <c r="AF13" s="458"/>
      <c r="AG13" s="458"/>
      <c r="AH13" s="458"/>
      <c r="AI13" s="459"/>
      <c r="AJ13" s="458"/>
      <c r="AK13" s="482"/>
    </row>
    <row r="14" ht="45" customHeight="1" spans="1:37">
      <c r="A14" s="454" t="s">
        <v>33</v>
      </c>
      <c r="B14" s="451">
        <f>B15+B16+B17</f>
        <v>16.77</v>
      </c>
      <c r="C14" s="451">
        <f t="shared" ref="C14:AK14" si="4">C15+C16+C17</f>
        <v>0</v>
      </c>
      <c r="D14" s="451">
        <f t="shared" si="4"/>
        <v>0</v>
      </c>
      <c r="E14" s="451">
        <f t="shared" si="4"/>
        <v>0</v>
      </c>
      <c r="F14" s="451">
        <f t="shared" si="4"/>
        <v>0</v>
      </c>
      <c r="G14" s="451">
        <f t="shared" si="4"/>
        <v>0</v>
      </c>
      <c r="H14" s="451">
        <f t="shared" si="4"/>
        <v>0</v>
      </c>
      <c r="I14" s="451">
        <f t="shared" si="4"/>
        <v>30</v>
      </c>
      <c r="J14" s="451">
        <f t="shared" si="4"/>
        <v>0</v>
      </c>
      <c r="K14" s="451">
        <f t="shared" si="4"/>
        <v>0.3</v>
      </c>
      <c r="L14" s="451">
        <f t="shared" si="4"/>
        <v>0</v>
      </c>
      <c r="M14" s="451">
        <f t="shared" si="4"/>
        <v>0</v>
      </c>
      <c r="N14" s="451">
        <f t="shared" si="4"/>
        <v>9</v>
      </c>
      <c r="O14" s="451">
        <f t="shared" si="4"/>
        <v>0</v>
      </c>
      <c r="P14" s="451">
        <f t="shared" si="4"/>
        <v>2</v>
      </c>
      <c r="Q14" s="451">
        <f t="shared" si="4"/>
        <v>1</v>
      </c>
      <c r="R14" s="451">
        <f t="shared" si="4"/>
        <v>3.13</v>
      </c>
      <c r="S14" s="451">
        <f t="shared" si="4"/>
        <v>120</v>
      </c>
      <c r="T14" s="451">
        <f t="shared" si="4"/>
        <v>0.92</v>
      </c>
      <c r="U14" s="451">
        <f t="shared" si="4"/>
        <v>0</v>
      </c>
      <c r="V14" s="451">
        <f t="shared" si="4"/>
        <v>0</v>
      </c>
      <c r="W14" s="451">
        <f t="shared" si="4"/>
        <v>1</v>
      </c>
      <c r="X14" s="451">
        <f t="shared" si="4"/>
        <v>0</v>
      </c>
      <c r="Y14" s="451">
        <f t="shared" si="4"/>
        <v>800</v>
      </c>
      <c r="Z14" s="451">
        <f t="shared" si="4"/>
        <v>0.6</v>
      </c>
      <c r="AA14" s="451">
        <f t="shared" si="4"/>
        <v>169</v>
      </c>
      <c r="AB14" s="451">
        <f t="shared" si="4"/>
        <v>7</v>
      </c>
      <c r="AC14" s="451">
        <f t="shared" si="4"/>
        <v>14</v>
      </c>
      <c r="AD14" s="451">
        <f t="shared" si="4"/>
        <v>1</v>
      </c>
      <c r="AE14" s="451">
        <f t="shared" si="4"/>
        <v>4.76</v>
      </c>
      <c r="AF14" s="451">
        <f t="shared" si="4"/>
        <v>0</v>
      </c>
      <c r="AG14" s="451">
        <f t="shared" si="4"/>
        <v>0</v>
      </c>
      <c r="AH14" s="451">
        <f t="shared" si="4"/>
        <v>0</v>
      </c>
      <c r="AI14" s="451">
        <f t="shared" si="4"/>
        <v>1</v>
      </c>
      <c r="AJ14" s="451">
        <f t="shared" si="4"/>
        <v>12</v>
      </c>
      <c r="AK14" s="451">
        <f t="shared" si="4"/>
        <v>5.06</v>
      </c>
    </row>
    <row r="15" s="39" customFormat="1" ht="51" customHeight="1" spans="1:37">
      <c r="A15" s="455" t="s">
        <v>103</v>
      </c>
      <c r="B15" s="456">
        <f>F15+H15+K15+P15+R15+T15+V15+Z15+AE15+AK15</f>
        <v>0.82</v>
      </c>
      <c r="C15" s="458"/>
      <c r="D15" s="458"/>
      <c r="E15" s="458"/>
      <c r="F15" s="65"/>
      <c r="G15" s="458"/>
      <c r="H15" s="459"/>
      <c r="I15" s="452">
        <v>10</v>
      </c>
      <c r="J15" s="459"/>
      <c r="K15" s="463">
        <v>0.1</v>
      </c>
      <c r="L15" s="458"/>
      <c r="M15" s="224"/>
      <c r="N15" s="458"/>
      <c r="O15" s="458"/>
      <c r="P15" s="459"/>
      <c r="Q15" s="458"/>
      <c r="R15" s="456"/>
      <c r="S15" s="453"/>
      <c r="T15" s="456"/>
      <c r="U15" s="458"/>
      <c r="V15" s="458"/>
      <c r="W15" s="459"/>
      <c r="X15" s="458"/>
      <c r="Y15" s="458"/>
      <c r="Z15" s="464"/>
      <c r="AA15" s="453"/>
      <c r="AB15" s="458"/>
      <c r="AC15" s="453">
        <v>14</v>
      </c>
      <c r="AD15" s="453">
        <v>1</v>
      </c>
      <c r="AE15" s="453">
        <v>0.66</v>
      </c>
      <c r="AF15" s="458"/>
      <c r="AG15" s="458"/>
      <c r="AH15" s="458"/>
      <c r="AI15" s="459"/>
      <c r="AJ15" s="453">
        <v>12</v>
      </c>
      <c r="AK15" s="482">
        <v>0.06</v>
      </c>
    </row>
    <row r="16" ht="34.8" spans="1:37">
      <c r="A16" s="455" t="s">
        <v>104</v>
      </c>
      <c r="B16" s="456">
        <f t="shared" si="3"/>
        <v>15.85</v>
      </c>
      <c r="C16" s="458"/>
      <c r="D16" s="458"/>
      <c r="E16" s="458"/>
      <c r="F16" s="65"/>
      <c r="G16" s="458"/>
      <c r="H16" s="459"/>
      <c r="I16" s="452">
        <v>10</v>
      </c>
      <c r="J16" s="459"/>
      <c r="K16" s="463">
        <v>0.1</v>
      </c>
      <c r="L16" s="458"/>
      <c r="M16" s="224"/>
      <c r="N16" s="453">
        <v>9</v>
      </c>
      <c r="O16" s="458"/>
      <c r="P16" s="456">
        <v>2</v>
      </c>
      <c r="Q16" s="453">
        <v>1</v>
      </c>
      <c r="R16" s="456">
        <v>3.13</v>
      </c>
      <c r="S16" s="453">
        <v>120</v>
      </c>
      <c r="T16" s="456">
        <v>0.92</v>
      </c>
      <c r="U16" s="458"/>
      <c r="V16" s="458"/>
      <c r="W16" s="453">
        <v>1</v>
      </c>
      <c r="X16" s="453"/>
      <c r="Y16" s="453">
        <v>800</v>
      </c>
      <c r="Z16" s="463">
        <v>0.6</v>
      </c>
      <c r="AA16" s="453">
        <v>169</v>
      </c>
      <c r="AB16" s="453">
        <v>7</v>
      </c>
      <c r="AC16" s="453"/>
      <c r="AD16" s="453"/>
      <c r="AE16" s="463">
        <v>4.1</v>
      </c>
      <c r="AF16" s="458"/>
      <c r="AG16" s="458"/>
      <c r="AH16" s="458"/>
      <c r="AI16" s="453">
        <v>1</v>
      </c>
      <c r="AJ16" s="453"/>
      <c r="AK16" s="456">
        <v>5</v>
      </c>
    </row>
    <row r="17" ht="34.8" spans="1:37">
      <c r="A17" s="455" t="s">
        <v>105</v>
      </c>
      <c r="B17" s="456">
        <f t="shared" si="3"/>
        <v>0.1</v>
      </c>
      <c r="C17" s="458"/>
      <c r="D17" s="458"/>
      <c r="E17" s="458"/>
      <c r="F17" s="65"/>
      <c r="G17" s="458"/>
      <c r="H17" s="459"/>
      <c r="I17" s="452">
        <v>10</v>
      </c>
      <c r="J17" s="459"/>
      <c r="K17" s="463">
        <v>0.1</v>
      </c>
      <c r="L17" s="458"/>
      <c r="M17" s="224"/>
      <c r="N17" s="458"/>
      <c r="O17" s="458"/>
      <c r="P17" s="459"/>
      <c r="Q17" s="458"/>
      <c r="R17" s="458"/>
      <c r="S17" s="459"/>
      <c r="T17" s="458"/>
      <c r="U17" s="458"/>
      <c r="V17" s="458"/>
      <c r="W17" s="459"/>
      <c r="X17" s="458"/>
      <c r="Y17" s="458"/>
      <c r="Z17" s="458"/>
      <c r="AA17" s="459"/>
      <c r="AB17" s="458"/>
      <c r="AC17" s="458"/>
      <c r="AD17" s="458"/>
      <c r="AE17" s="458"/>
      <c r="AF17" s="458"/>
      <c r="AG17" s="458"/>
      <c r="AH17" s="458"/>
      <c r="AI17" s="459"/>
      <c r="AJ17" s="458"/>
      <c r="AK17" s="458"/>
    </row>
    <row r="18" s="39" customFormat="1" ht="17.4" spans="1:36">
      <c r="A18" s="460" t="s">
        <v>106</v>
      </c>
      <c r="B18" s="460"/>
      <c r="C18" s="460"/>
      <c r="D18" s="460"/>
      <c r="E18" s="460"/>
      <c r="F18" s="460"/>
      <c r="G18" s="460"/>
      <c r="H18" s="460"/>
      <c r="I18" s="460"/>
      <c r="J18" s="460"/>
      <c r="K18" s="460"/>
      <c r="L18" s="460"/>
      <c r="M18" s="460"/>
      <c r="N18" s="460"/>
      <c r="O18" s="431"/>
      <c r="P18" s="432"/>
      <c r="Q18" s="431"/>
      <c r="R18" s="432"/>
      <c r="S18" s="431"/>
      <c r="T18" s="432"/>
      <c r="U18" s="431"/>
      <c r="V18" s="431"/>
      <c r="W18" s="431"/>
      <c r="X18" s="432"/>
      <c r="Y18" s="431"/>
      <c r="Z18" s="431"/>
      <c r="AA18" s="431"/>
      <c r="AB18" s="432"/>
      <c r="AC18" s="431"/>
      <c r="AD18" s="431"/>
      <c r="AE18" s="431"/>
      <c r="AF18" s="431"/>
      <c r="AG18" s="431"/>
      <c r="AH18" s="432"/>
      <c r="AI18" s="431"/>
      <c r="AJ18" s="431"/>
    </row>
    <row r="19" spans="1:14">
      <c r="A19" s="460"/>
      <c r="B19" s="460"/>
      <c r="C19" s="460"/>
      <c r="D19" s="460"/>
      <c r="E19" s="460"/>
      <c r="F19" s="460"/>
      <c r="G19" s="460"/>
      <c r="H19" s="460"/>
      <c r="I19" s="460"/>
      <c r="J19" s="460"/>
      <c r="K19" s="460"/>
      <c r="L19" s="460"/>
      <c r="M19" s="460"/>
      <c r="N19" s="460"/>
    </row>
    <row r="20" spans="1:14">
      <c r="A20" s="460"/>
      <c r="B20" s="460"/>
      <c r="C20" s="460"/>
      <c r="D20" s="460"/>
      <c r="E20" s="460"/>
      <c r="F20" s="460"/>
      <c r="G20" s="460"/>
      <c r="H20" s="460"/>
      <c r="I20" s="460"/>
      <c r="J20" s="460"/>
      <c r="K20" s="460"/>
      <c r="L20" s="460"/>
      <c r="M20" s="460"/>
      <c r="N20" s="460"/>
    </row>
    <row r="21" spans="1:14">
      <c r="A21" s="460"/>
      <c r="B21" s="460"/>
      <c r="C21" s="460"/>
      <c r="D21" s="460"/>
      <c r="E21" s="460"/>
      <c r="F21" s="460"/>
      <c r="G21" s="460"/>
      <c r="H21" s="460"/>
      <c r="I21" s="460"/>
      <c r="J21" s="460"/>
      <c r="K21" s="460"/>
      <c r="L21" s="460"/>
      <c r="M21" s="460"/>
      <c r="N21" s="460"/>
    </row>
    <row r="22" spans="1:14">
      <c r="A22" s="460"/>
      <c r="B22" s="460"/>
      <c r="C22" s="460"/>
      <c r="D22" s="460"/>
      <c r="E22" s="460"/>
      <c r="F22" s="460"/>
      <c r="G22" s="460"/>
      <c r="H22" s="460"/>
      <c r="I22" s="460"/>
      <c r="J22" s="460"/>
      <c r="K22" s="460"/>
      <c r="L22" s="460"/>
      <c r="M22" s="460"/>
      <c r="N22" s="460"/>
    </row>
    <row r="23" spans="1:14">
      <c r="A23" s="460"/>
      <c r="B23" s="460"/>
      <c r="C23" s="460"/>
      <c r="D23" s="460"/>
      <c r="E23" s="460"/>
      <c r="F23" s="460"/>
      <c r="G23" s="460"/>
      <c r="H23" s="460"/>
      <c r="I23" s="460"/>
      <c r="J23" s="460"/>
      <c r="K23" s="460"/>
      <c r="L23" s="460"/>
      <c r="M23" s="460"/>
      <c r="N23" s="460"/>
    </row>
    <row r="24" spans="1:14">
      <c r="A24" s="460"/>
      <c r="B24" s="460"/>
      <c r="C24" s="460"/>
      <c r="D24" s="460"/>
      <c r="E24" s="460"/>
      <c r="F24" s="460"/>
      <c r="G24" s="460"/>
      <c r="H24" s="460"/>
      <c r="I24" s="460"/>
      <c r="J24" s="460"/>
      <c r="K24" s="460"/>
      <c r="L24" s="460"/>
      <c r="M24" s="460"/>
      <c r="N24" s="460"/>
    </row>
    <row r="25" spans="1:14">
      <c r="A25" s="460"/>
      <c r="B25" s="460"/>
      <c r="C25" s="460"/>
      <c r="D25" s="460"/>
      <c r="E25" s="460"/>
      <c r="F25" s="460"/>
      <c r="G25" s="460"/>
      <c r="H25" s="460"/>
      <c r="I25" s="460"/>
      <c r="J25" s="460"/>
      <c r="K25" s="460"/>
      <c r="L25" s="460"/>
      <c r="M25" s="460"/>
      <c r="N25" s="460"/>
    </row>
    <row r="26" spans="1:14">
      <c r="A26" s="460"/>
      <c r="B26" s="460"/>
      <c r="C26" s="460"/>
      <c r="D26" s="460"/>
      <c r="E26" s="460"/>
      <c r="F26" s="460"/>
      <c r="G26" s="460"/>
      <c r="H26" s="460"/>
      <c r="I26" s="460"/>
      <c r="J26" s="460"/>
      <c r="K26" s="460"/>
      <c r="L26" s="460"/>
      <c r="M26" s="460"/>
      <c r="N26" s="460"/>
    </row>
    <row r="27" ht="116.1" customHeight="1" spans="1:14">
      <c r="A27" s="460"/>
      <c r="B27" s="460"/>
      <c r="C27" s="460"/>
      <c r="D27" s="460"/>
      <c r="E27" s="460"/>
      <c r="F27" s="460"/>
      <c r="G27" s="460"/>
      <c r="H27" s="460"/>
      <c r="I27" s="460"/>
      <c r="J27" s="460"/>
      <c r="K27" s="460"/>
      <c r="L27" s="460"/>
      <c r="M27" s="460"/>
      <c r="N27" s="460"/>
    </row>
  </sheetData>
  <protectedRanges>
    <protectedRange sqref="T5:T6" name="区域1_3_3"/>
  </protectedRanges>
  <mergeCells count="16">
    <mergeCell ref="A2:AK2"/>
    <mergeCell ref="C4:F4"/>
    <mergeCell ref="G4:H4"/>
    <mergeCell ref="I4:K4"/>
    <mergeCell ref="L4:M4"/>
    <mergeCell ref="N4:P4"/>
    <mergeCell ref="Q4:R4"/>
    <mergeCell ref="S4:T4"/>
    <mergeCell ref="U4:V4"/>
    <mergeCell ref="W4:Z4"/>
    <mergeCell ref="AA4:AE4"/>
    <mergeCell ref="AF4:AH4"/>
    <mergeCell ref="AI4:AK4"/>
    <mergeCell ref="A4:A5"/>
    <mergeCell ref="B4:B5"/>
    <mergeCell ref="A18:N27"/>
  </mergeCells>
  <printOptions horizontalCentered="1"/>
  <pageMargins left="0.554861111111111" right="0.554861111111111" top="0.802777777777778" bottom="0.393055555555556" header="0.5" footer="0.5"/>
  <pageSetup paperSize="9" scale="37"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IV13"/>
  <sheetViews>
    <sheetView zoomScale="55" zoomScaleNormal="55" topLeftCell="A5" workbookViewId="0">
      <selection activeCell="AE6" sqref="AE6"/>
    </sheetView>
  </sheetViews>
  <sheetFormatPr defaultColWidth="9" defaultRowHeight="15"/>
  <cols>
    <col min="1" max="1" width="20.25" style="382" customWidth="1"/>
    <col min="2" max="2" width="13.125" style="382" customWidth="1"/>
    <col min="3" max="6" width="10.625" style="382" customWidth="1"/>
    <col min="7" max="7" width="13.75" style="382" customWidth="1"/>
    <col min="8" max="8" width="15.625" style="382" customWidth="1"/>
    <col min="9" max="9" width="14.75" style="382" customWidth="1"/>
    <col min="10" max="10" width="13.75" style="382" customWidth="1"/>
    <col min="11" max="11" width="14" style="383" customWidth="1"/>
    <col min="12" max="12" width="26.5" style="383" customWidth="1"/>
    <col min="13" max="13" width="9.125" style="382" customWidth="1"/>
    <col min="14" max="14" width="13.75" style="382" customWidth="1"/>
    <col min="15" max="15" width="10" style="384" customWidth="1"/>
    <col min="16" max="16" width="20" style="384" customWidth="1"/>
    <col min="17" max="17" width="12.75" style="383" customWidth="1"/>
    <col min="18" max="18" width="13.375" style="383" customWidth="1"/>
    <col min="19" max="19" width="12.875" style="382" customWidth="1"/>
    <col min="20" max="20" width="13.75" style="382" customWidth="1"/>
    <col min="21" max="21" width="13.125" style="382" customWidth="1"/>
    <col min="22" max="22" width="12.5" style="382" customWidth="1"/>
    <col min="23" max="23" width="12.125" style="382" customWidth="1"/>
    <col min="24" max="24" width="13.75" style="382" customWidth="1"/>
    <col min="25" max="25" width="15.375" style="383" customWidth="1"/>
    <col min="26" max="26" width="13.75" style="382" customWidth="1"/>
    <col min="27" max="27" width="17.375" style="382"/>
    <col min="28" max="16384" width="9" style="382"/>
  </cols>
  <sheetData>
    <row r="1" ht="30" customHeight="1" spans="1:2">
      <c r="A1" s="385" t="s">
        <v>107</v>
      </c>
      <c r="B1" s="385"/>
    </row>
    <row r="2" s="378" customFormat="1" ht="42" customHeight="1" spans="1:26">
      <c r="A2" s="386" t="s">
        <v>108</v>
      </c>
      <c r="B2" s="386"/>
      <c r="C2" s="386"/>
      <c r="D2" s="386"/>
      <c r="E2" s="386"/>
      <c r="F2" s="386"/>
      <c r="G2" s="386"/>
      <c r="H2" s="386"/>
      <c r="I2" s="386"/>
      <c r="J2" s="386"/>
      <c r="K2" s="386"/>
      <c r="L2" s="386"/>
      <c r="M2" s="386"/>
      <c r="N2" s="386"/>
      <c r="O2" s="386"/>
      <c r="P2" s="386"/>
      <c r="Q2" s="414"/>
      <c r="R2" s="386"/>
      <c r="S2" s="386"/>
      <c r="T2" s="386"/>
      <c r="U2" s="386"/>
      <c r="V2" s="386"/>
      <c r="W2" s="386"/>
      <c r="X2" s="386"/>
      <c r="Y2" s="414"/>
      <c r="Z2" s="386"/>
    </row>
    <row r="3" s="379" customFormat="1" ht="30" customHeight="1" spans="1:26">
      <c r="A3" s="387"/>
      <c r="B3" s="387"/>
      <c r="C3" s="387"/>
      <c r="D3" s="387"/>
      <c r="E3" s="387"/>
      <c r="F3" s="387"/>
      <c r="G3" s="387"/>
      <c r="H3" s="387"/>
      <c r="I3" s="387"/>
      <c r="J3" s="387"/>
      <c r="K3" s="387"/>
      <c r="L3" s="387"/>
      <c r="M3" s="387"/>
      <c r="N3" s="387"/>
      <c r="O3" s="387"/>
      <c r="P3" s="387"/>
      <c r="Q3" s="415"/>
      <c r="R3" s="387"/>
      <c r="S3" s="387"/>
      <c r="T3" s="387"/>
      <c r="U3" s="387"/>
      <c r="V3" s="387"/>
      <c r="W3" s="387"/>
      <c r="X3" s="387"/>
      <c r="Y3" s="422" t="s">
        <v>3</v>
      </c>
      <c r="Z3" s="422"/>
    </row>
    <row r="4" s="309" customFormat="1" ht="36.95" customHeight="1" spans="1:256">
      <c r="A4" s="388" t="s">
        <v>109</v>
      </c>
      <c r="B4" s="389" t="s">
        <v>110</v>
      </c>
      <c r="C4" s="390"/>
      <c r="D4" s="390"/>
      <c r="E4" s="390"/>
      <c r="F4" s="390"/>
      <c r="G4" s="390"/>
      <c r="H4" s="390"/>
      <c r="I4" s="390"/>
      <c r="J4" s="407"/>
      <c r="K4" s="408" t="s">
        <v>111</v>
      </c>
      <c r="L4" s="409"/>
      <c r="M4" s="408"/>
      <c r="N4" s="409"/>
      <c r="O4" s="408"/>
      <c r="P4" s="408"/>
      <c r="Q4" s="416" t="s">
        <v>112</v>
      </c>
      <c r="R4" s="416"/>
      <c r="S4" s="417"/>
      <c r="T4" s="417"/>
      <c r="U4" s="417"/>
      <c r="V4" s="417" t="s">
        <v>113</v>
      </c>
      <c r="W4" s="417"/>
      <c r="X4" s="417"/>
      <c r="Y4" s="410" t="s">
        <v>114</v>
      </c>
      <c r="Z4" s="423" t="s">
        <v>115</v>
      </c>
      <c r="AA4" s="361"/>
      <c r="AB4" s="361"/>
      <c r="AC4" s="361"/>
      <c r="AD4" s="361"/>
      <c r="AE4" s="361"/>
      <c r="AF4" s="361"/>
      <c r="AG4" s="361"/>
      <c r="AH4" s="361"/>
      <c r="AI4" s="361"/>
      <c r="AJ4" s="361"/>
      <c r="AK4" s="361"/>
      <c r="AL4" s="361"/>
      <c r="AM4" s="361"/>
      <c r="AN4" s="361"/>
      <c r="AO4" s="361"/>
      <c r="AP4" s="361"/>
      <c r="AQ4" s="361"/>
      <c r="AR4" s="361"/>
      <c r="AS4" s="361"/>
      <c r="AT4" s="361"/>
      <c r="AU4" s="361"/>
      <c r="AV4" s="361"/>
      <c r="AW4" s="361"/>
      <c r="AX4" s="361"/>
      <c r="AY4" s="361"/>
      <c r="AZ4" s="361"/>
      <c r="BA4" s="361"/>
      <c r="BB4" s="361"/>
      <c r="BC4" s="361"/>
      <c r="BD4" s="361"/>
      <c r="BE4" s="361"/>
      <c r="BF4" s="361"/>
      <c r="BG4" s="361"/>
      <c r="BH4" s="361"/>
      <c r="BI4" s="361"/>
      <c r="BJ4" s="361"/>
      <c r="BK4" s="361"/>
      <c r="BL4" s="361"/>
      <c r="BM4" s="361"/>
      <c r="BN4" s="361"/>
      <c r="BO4" s="361"/>
      <c r="BP4" s="361"/>
      <c r="BQ4" s="361"/>
      <c r="BR4" s="361"/>
      <c r="BS4" s="361"/>
      <c r="BT4" s="361"/>
      <c r="BU4" s="361"/>
      <c r="BV4" s="361"/>
      <c r="BW4" s="361"/>
      <c r="BX4" s="361"/>
      <c r="BY4" s="361"/>
      <c r="BZ4" s="361"/>
      <c r="CA4" s="361"/>
      <c r="CB4" s="361"/>
      <c r="CC4" s="361"/>
      <c r="CD4" s="361"/>
      <c r="CE4" s="361"/>
      <c r="CF4" s="361"/>
      <c r="CG4" s="361"/>
      <c r="CH4" s="361"/>
      <c r="CI4" s="361"/>
      <c r="CJ4" s="361"/>
      <c r="CK4" s="361"/>
      <c r="CL4" s="361"/>
      <c r="CM4" s="361"/>
      <c r="CN4" s="361"/>
      <c r="CO4" s="361"/>
      <c r="CP4" s="361"/>
      <c r="CQ4" s="361"/>
      <c r="CR4" s="361"/>
      <c r="CS4" s="361"/>
      <c r="CT4" s="361"/>
      <c r="CU4" s="361"/>
      <c r="CV4" s="361"/>
      <c r="CW4" s="361"/>
      <c r="CX4" s="361"/>
      <c r="CY4" s="361"/>
      <c r="CZ4" s="361"/>
      <c r="DA4" s="361"/>
      <c r="DB4" s="361"/>
      <c r="DC4" s="361"/>
      <c r="DD4" s="361"/>
      <c r="DE4" s="361"/>
      <c r="DF4" s="361"/>
      <c r="DG4" s="361"/>
      <c r="DH4" s="361"/>
      <c r="DI4" s="361"/>
      <c r="DJ4" s="361"/>
      <c r="DK4" s="361"/>
      <c r="DL4" s="361"/>
      <c r="DM4" s="361"/>
      <c r="DN4" s="361"/>
      <c r="DO4" s="361"/>
      <c r="DP4" s="361"/>
      <c r="DQ4" s="361"/>
      <c r="DR4" s="361"/>
      <c r="DS4" s="361"/>
      <c r="DT4" s="361"/>
      <c r="DU4" s="361"/>
      <c r="DV4" s="361"/>
      <c r="DW4" s="361"/>
      <c r="DX4" s="361"/>
      <c r="DY4" s="361"/>
      <c r="DZ4" s="361"/>
      <c r="EA4" s="361"/>
      <c r="EB4" s="361"/>
      <c r="EC4" s="361"/>
      <c r="ED4" s="361"/>
      <c r="EE4" s="361"/>
      <c r="EF4" s="361"/>
      <c r="EG4" s="361"/>
      <c r="EH4" s="361"/>
      <c r="EI4" s="361"/>
      <c r="EJ4" s="361"/>
      <c r="EK4" s="361"/>
      <c r="EL4" s="361"/>
      <c r="EM4" s="361"/>
      <c r="EN4" s="361"/>
      <c r="EO4" s="361"/>
      <c r="EP4" s="361"/>
      <c r="EQ4" s="361"/>
      <c r="ER4" s="361"/>
      <c r="ES4" s="361"/>
      <c r="ET4" s="361"/>
      <c r="EU4" s="361"/>
      <c r="EV4" s="361"/>
      <c r="EW4" s="361"/>
      <c r="EX4" s="361"/>
      <c r="EY4" s="361"/>
      <c r="EZ4" s="361"/>
      <c r="FA4" s="361"/>
      <c r="FB4" s="361"/>
      <c r="FC4" s="361"/>
      <c r="FD4" s="361"/>
      <c r="FE4" s="361"/>
      <c r="FF4" s="361"/>
      <c r="FG4" s="361"/>
      <c r="FH4" s="361"/>
      <c r="FI4" s="361"/>
      <c r="FJ4" s="361"/>
      <c r="FK4" s="361"/>
      <c r="FL4" s="361"/>
      <c r="FM4" s="361"/>
      <c r="FN4" s="361"/>
      <c r="FO4" s="361"/>
      <c r="FP4" s="361"/>
      <c r="FQ4" s="361"/>
      <c r="FR4" s="361"/>
      <c r="FS4" s="361"/>
      <c r="FT4" s="361"/>
      <c r="FU4" s="361"/>
      <c r="FV4" s="361"/>
      <c r="FW4" s="361"/>
      <c r="FX4" s="361"/>
      <c r="FY4" s="361"/>
      <c r="FZ4" s="361"/>
      <c r="GA4" s="361"/>
      <c r="GB4" s="361"/>
      <c r="GC4" s="361"/>
      <c r="GD4" s="361"/>
      <c r="GE4" s="361"/>
      <c r="GF4" s="361"/>
      <c r="GG4" s="361"/>
      <c r="GH4" s="361"/>
      <c r="GI4" s="361"/>
      <c r="GJ4" s="361"/>
      <c r="GK4" s="361"/>
      <c r="GL4" s="361"/>
      <c r="GM4" s="361"/>
      <c r="GN4" s="361"/>
      <c r="GO4" s="361"/>
      <c r="GP4" s="361"/>
      <c r="GQ4" s="361"/>
      <c r="GR4" s="361"/>
      <c r="GS4" s="361"/>
      <c r="GT4" s="361"/>
      <c r="GU4" s="361"/>
      <c r="GV4" s="361"/>
      <c r="GW4" s="361"/>
      <c r="GX4" s="361"/>
      <c r="GY4" s="361"/>
      <c r="GZ4" s="361"/>
      <c r="HA4" s="361"/>
      <c r="HB4" s="361"/>
      <c r="HC4" s="361"/>
      <c r="HD4" s="361"/>
      <c r="HE4" s="361"/>
      <c r="HF4" s="361"/>
      <c r="HG4" s="361"/>
      <c r="HH4" s="361"/>
      <c r="HI4" s="361"/>
      <c r="HJ4" s="361"/>
      <c r="HK4" s="361"/>
      <c r="HL4" s="361"/>
      <c r="HM4" s="361"/>
      <c r="HN4" s="361"/>
      <c r="HO4" s="361"/>
      <c r="HP4" s="361"/>
      <c r="HQ4" s="361"/>
      <c r="HR4" s="361"/>
      <c r="HS4" s="361"/>
      <c r="HT4" s="361"/>
      <c r="HU4" s="361"/>
      <c r="HV4" s="361"/>
      <c r="HW4" s="361"/>
      <c r="HX4" s="361"/>
      <c r="HY4" s="361"/>
      <c r="HZ4" s="361"/>
      <c r="IA4" s="361"/>
      <c r="IB4" s="361"/>
      <c r="IC4" s="361"/>
      <c r="ID4" s="361"/>
      <c r="IE4" s="361"/>
      <c r="IF4" s="361"/>
      <c r="IG4" s="361"/>
      <c r="IH4" s="361"/>
      <c r="II4" s="361"/>
      <c r="IJ4" s="361"/>
      <c r="IK4" s="361"/>
      <c r="IL4" s="361"/>
      <c r="IM4" s="361"/>
      <c r="IN4" s="361"/>
      <c r="IO4" s="361"/>
      <c r="IP4" s="361"/>
      <c r="IQ4" s="361"/>
      <c r="IR4" s="361"/>
      <c r="IS4" s="361"/>
      <c r="IT4" s="361"/>
      <c r="IU4" s="361"/>
      <c r="IV4" s="361"/>
    </row>
    <row r="5" s="309" customFormat="1" ht="177.6" spans="1:256">
      <c r="A5" s="391"/>
      <c r="B5" s="392" t="s">
        <v>116</v>
      </c>
      <c r="C5" s="393" t="s">
        <v>117</v>
      </c>
      <c r="D5" s="393" t="s">
        <v>118</v>
      </c>
      <c r="E5" s="393" t="s">
        <v>119</v>
      </c>
      <c r="F5" s="393" t="s">
        <v>120</v>
      </c>
      <c r="G5" s="394" t="s">
        <v>121</v>
      </c>
      <c r="H5" s="394" t="s">
        <v>122</v>
      </c>
      <c r="I5" s="394" t="s">
        <v>123</v>
      </c>
      <c r="J5" s="393" t="s">
        <v>124</v>
      </c>
      <c r="K5" s="393" t="s">
        <v>125</v>
      </c>
      <c r="L5" s="410" t="s">
        <v>126</v>
      </c>
      <c r="M5" s="393" t="s">
        <v>127</v>
      </c>
      <c r="N5" s="410" t="s">
        <v>128</v>
      </c>
      <c r="O5" s="393" t="s">
        <v>129</v>
      </c>
      <c r="P5" s="393" t="s">
        <v>130</v>
      </c>
      <c r="Q5" s="418" t="s">
        <v>131</v>
      </c>
      <c r="R5" s="418" t="s">
        <v>132</v>
      </c>
      <c r="S5" s="419" t="s">
        <v>133</v>
      </c>
      <c r="T5" s="419" t="s">
        <v>134</v>
      </c>
      <c r="U5" s="419" t="s">
        <v>135</v>
      </c>
      <c r="V5" s="419" t="s">
        <v>136</v>
      </c>
      <c r="W5" s="419" t="s">
        <v>137</v>
      </c>
      <c r="X5" s="419" t="s">
        <v>138</v>
      </c>
      <c r="Y5" s="410"/>
      <c r="Z5" s="424"/>
      <c r="AA5" s="361"/>
      <c r="AB5" s="361"/>
      <c r="AC5" s="361"/>
      <c r="AD5" s="361"/>
      <c r="AE5" s="361"/>
      <c r="AF5" s="361"/>
      <c r="AG5" s="361"/>
      <c r="AH5" s="361"/>
      <c r="AI5" s="361"/>
      <c r="AJ5" s="361"/>
      <c r="AK5" s="361"/>
      <c r="AL5" s="361"/>
      <c r="AM5" s="361"/>
      <c r="AN5" s="361"/>
      <c r="AO5" s="361"/>
      <c r="AP5" s="361"/>
      <c r="AQ5" s="361"/>
      <c r="AR5" s="361"/>
      <c r="AS5" s="361"/>
      <c r="AT5" s="361"/>
      <c r="AU5" s="361"/>
      <c r="AV5" s="361"/>
      <c r="AW5" s="361"/>
      <c r="AX5" s="361"/>
      <c r="AY5" s="361"/>
      <c r="AZ5" s="361"/>
      <c r="BA5" s="361"/>
      <c r="BB5" s="361"/>
      <c r="BC5" s="361"/>
      <c r="BD5" s="361"/>
      <c r="BE5" s="361"/>
      <c r="BF5" s="361"/>
      <c r="BG5" s="361"/>
      <c r="BH5" s="361"/>
      <c r="BI5" s="361"/>
      <c r="BJ5" s="361"/>
      <c r="BK5" s="361"/>
      <c r="BL5" s="361"/>
      <c r="BM5" s="361"/>
      <c r="BN5" s="361"/>
      <c r="BO5" s="361"/>
      <c r="BP5" s="361"/>
      <c r="BQ5" s="361"/>
      <c r="BR5" s="361"/>
      <c r="BS5" s="361"/>
      <c r="BT5" s="361"/>
      <c r="BU5" s="361"/>
      <c r="BV5" s="361"/>
      <c r="BW5" s="361"/>
      <c r="BX5" s="361"/>
      <c r="BY5" s="361"/>
      <c r="BZ5" s="361"/>
      <c r="CA5" s="361"/>
      <c r="CB5" s="361"/>
      <c r="CC5" s="361"/>
      <c r="CD5" s="361"/>
      <c r="CE5" s="361"/>
      <c r="CF5" s="361"/>
      <c r="CG5" s="361"/>
      <c r="CH5" s="361"/>
      <c r="CI5" s="361"/>
      <c r="CJ5" s="361"/>
      <c r="CK5" s="361"/>
      <c r="CL5" s="361"/>
      <c r="CM5" s="361"/>
      <c r="CN5" s="361"/>
      <c r="CO5" s="361"/>
      <c r="CP5" s="361"/>
      <c r="CQ5" s="361"/>
      <c r="CR5" s="361"/>
      <c r="CS5" s="361"/>
      <c r="CT5" s="361"/>
      <c r="CU5" s="361"/>
      <c r="CV5" s="361"/>
      <c r="CW5" s="361"/>
      <c r="CX5" s="361"/>
      <c r="CY5" s="361"/>
      <c r="CZ5" s="361"/>
      <c r="DA5" s="361"/>
      <c r="DB5" s="361"/>
      <c r="DC5" s="361"/>
      <c r="DD5" s="361"/>
      <c r="DE5" s="361"/>
      <c r="DF5" s="361"/>
      <c r="DG5" s="361"/>
      <c r="DH5" s="361"/>
      <c r="DI5" s="361"/>
      <c r="DJ5" s="361"/>
      <c r="DK5" s="361"/>
      <c r="DL5" s="361"/>
      <c r="DM5" s="361"/>
      <c r="DN5" s="361"/>
      <c r="DO5" s="361"/>
      <c r="DP5" s="361"/>
      <c r="DQ5" s="361"/>
      <c r="DR5" s="361"/>
      <c r="DS5" s="361"/>
      <c r="DT5" s="361"/>
      <c r="DU5" s="361"/>
      <c r="DV5" s="361"/>
      <c r="DW5" s="361"/>
      <c r="DX5" s="361"/>
      <c r="DY5" s="361"/>
      <c r="DZ5" s="361"/>
      <c r="EA5" s="361"/>
      <c r="EB5" s="361"/>
      <c r="EC5" s="361"/>
      <c r="ED5" s="361"/>
      <c r="EE5" s="361"/>
      <c r="EF5" s="361"/>
      <c r="EG5" s="361"/>
      <c r="EH5" s="361"/>
      <c r="EI5" s="361"/>
      <c r="EJ5" s="361"/>
      <c r="EK5" s="361"/>
      <c r="EL5" s="361"/>
      <c r="EM5" s="361"/>
      <c r="EN5" s="361"/>
      <c r="EO5" s="361"/>
      <c r="EP5" s="361"/>
      <c r="EQ5" s="361"/>
      <c r="ER5" s="361"/>
      <c r="ES5" s="361"/>
      <c r="ET5" s="361"/>
      <c r="EU5" s="361"/>
      <c r="EV5" s="361"/>
      <c r="EW5" s="361"/>
      <c r="EX5" s="361"/>
      <c r="EY5" s="361"/>
      <c r="EZ5" s="361"/>
      <c r="FA5" s="361"/>
      <c r="FB5" s="361"/>
      <c r="FC5" s="361"/>
      <c r="FD5" s="361"/>
      <c r="FE5" s="361"/>
      <c r="FF5" s="361"/>
      <c r="FG5" s="361"/>
      <c r="FH5" s="361"/>
      <c r="FI5" s="361"/>
      <c r="FJ5" s="361"/>
      <c r="FK5" s="361"/>
      <c r="FL5" s="361"/>
      <c r="FM5" s="361"/>
      <c r="FN5" s="361"/>
      <c r="FO5" s="361"/>
      <c r="FP5" s="361"/>
      <c r="FQ5" s="361"/>
      <c r="FR5" s="361"/>
      <c r="FS5" s="361"/>
      <c r="FT5" s="361"/>
      <c r="FU5" s="361"/>
      <c r="FV5" s="361"/>
      <c r="FW5" s="361"/>
      <c r="FX5" s="361"/>
      <c r="FY5" s="361"/>
      <c r="FZ5" s="361"/>
      <c r="GA5" s="361"/>
      <c r="GB5" s="361"/>
      <c r="GC5" s="361"/>
      <c r="GD5" s="361"/>
      <c r="GE5" s="361"/>
      <c r="GF5" s="361"/>
      <c r="GG5" s="361"/>
      <c r="GH5" s="361"/>
      <c r="GI5" s="361"/>
      <c r="GJ5" s="361"/>
      <c r="GK5" s="361"/>
      <c r="GL5" s="361"/>
      <c r="GM5" s="361"/>
      <c r="GN5" s="361"/>
      <c r="GO5" s="361"/>
      <c r="GP5" s="361"/>
      <c r="GQ5" s="361"/>
      <c r="GR5" s="361"/>
      <c r="GS5" s="361"/>
      <c r="GT5" s="361"/>
      <c r="GU5" s="361"/>
      <c r="GV5" s="361"/>
      <c r="GW5" s="361"/>
      <c r="GX5" s="361"/>
      <c r="GY5" s="361"/>
      <c r="GZ5" s="361"/>
      <c r="HA5" s="361"/>
      <c r="HB5" s="361"/>
      <c r="HC5" s="361"/>
      <c r="HD5" s="361"/>
      <c r="HE5" s="361"/>
      <c r="HF5" s="361"/>
      <c r="HG5" s="361"/>
      <c r="HH5" s="361"/>
      <c r="HI5" s="361"/>
      <c r="HJ5" s="361"/>
      <c r="HK5" s="361"/>
      <c r="HL5" s="361"/>
      <c r="HM5" s="361"/>
      <c r="HN5" s="361"/>
      <c r="HO5" s="361"/>
      <c r="HP5" s="361"/>
      <c r="HQ5" s="361"/>
      <c r="HR5" s="361"/>
      <c r="HS5" s="361"/>
      <c r="HT5" s="361"/>
      <c r="HU5" s="361"/>
      <c r="HV5" s="361"/>
      <c r="HW5" s="361"/>
      <c r="HX5" s="361"/>
      <c r="HY5" s="361"/>
      <c r="HZ5" s="361"/>
      <c r="IA5" s="361"/>
      <c r="IB5" s="361"/>
      <c r="IC5" s="361"/>
      <c r="ID5" s="361"/>
      <c r="IE5" s="361"/>
      <c r="IF5" s="361"/>
      <c r="IG5" s="361"/>
      <c r="IH5" s="361"/>
      <c r="II5" s="361"/>
      <c r="IJ5" s="361"/>
      <c r="IK5" s="361"/>
      <c r="IL5" s="361"/>
      <c r="IM5" s="361"/>
      <c r="IN5" s="361"/>
      <c r="IO5" s="361"/>
      <c r="IP5" s="361"/>
      <c r="IQ5" s="361"/>
      <c r="IR5" s="361"/>
      <c r="IS5" s="361"/>
      <c r="IT5" s="361"/>
      <c r="IU5" s="361"/>
      <c r="IV5" s="361"/>
    </row>
    <row r="6" s="380" customFormat="1" ht="336.95" customHeight="1" spans="1:26">
      <c r="A6" s="395"/>
      <c r="B6" s="396" t="s">
        <v>139</v>
      </c>
      <c r="C6" s="397" t="s">
        <v>140</v>
      </c>
      <c r="D6" s="397" t="s">
        <v>141</v>
      </c>
      <c r="E6" s="397" t="s">
        <v>142</v>
      </c>
      <c r="F6" s="397" t="s">
        <v>143</v>
      </c>
      <c r="G6" s="398" t="s">
        <v>144</v>
      </c>
      <c r="H6" s="399" t="s">
        <v>145</v>
      </c>
      <c r="I6" s="398" t="s">
        <v>146</v>
      </c>
      <c r="J6" s="398" t="s">
        <v>147</v>
      </c>
      <c r="K6" s="398" t="s">
        <v>148</v>
      </c>
      <c r="L6" s="411" t="s">
        <v>149</v>
      </c>
      <c r="M6" s="398" t="s">
        <v>150</v>
      </c>
      <c r="N6" s="411" t="s">
        <v>151</v>
      </c>
      <c r="O6" s="398" t="s">
        <v>150</v>
      </c>
      <c r="P6" s="398" t="s">
        <v>152</v>
      </c>
      <c r="Q6" s="411" t="s">
        <v>153</v>
      </c>
      <c r="R6" s="411" t="s">
        <v>154</v>
      </c>
      <c r="S6" s="398" t="s">
        <v>155</v>
      </c>
      <c r="T6" s="398" t="s">
        <v>156</v>
      </c>
      <c r="U6" s="398" t="s">
        <v>157</v>
      </c>
      <c r="V6" s="398" t="s">
        <v>158</v>
      </c>
      <c r="W6" s="398" t="s">
        <v>159</v>
      </c>
      <c r="X6" s="398" t="s">
        <v>160</v>
      </c>
      <c r="Y6" s="425" t="s">
        <v>161</v>
      </c>
      <c r="Z6" s="426"/>
    </row>
    <row r="7" s="381" customFormat="1" ht="47.1" customHeight="1" spans="1:27">
      <c r="A7" s="400" t="s">
        <v>22</v>
      </c>
      <c r="B7" s="401">
        <v>6645</v>
      </c>
      <c r="C7" s="401">
        <v>4</v>
      </c>
      <c r="D7" s="402">
        <v>9</v>
      </c>
      <c r="E7" s="403">
        <v>593</v>
      </c>
      <c r="F7" s="402">
        <v>2</v>
      </c>
      <c r="G7" s="404">
        <f>ROUND(B7*1094400/1107702,0)</f>
        <v>6565</v>
      </c>
      <c r="H7" s="404">
        <f>ROUND(C7*368/368,0)</f>
        <v>4</v>
      </c>
      <c r="I7" s="404">
        <f>ROUND(D7*3715/2405,0)</f>
        <v>14</v>
      </c>
      <c r="J7" s="404">
        <f>ROUND(E7*84240/93143,0)</f>
        <v>536</v>
      </c>
      <c r="K7" s="412">
        <f t="shared" ref="K7:K12" si="0">ROUND((G7*6+30%*G7*15+6*G7)/10000,2)</f>
        <v>10.83</v>
      </c>
      <c r="L7" s="412">
        <f>ROUND((180*H7+60*4*0.7*H7)/10000,2)</f>
        <v>0.14</v>
      </c>
      <c r="M7" s="412">
        <v>0</v>
      </c>
      <c r="N7" s="412">
        <f t="shared" ref="N7:N12" si="1">ROUND((15*2*2+180)*H7*0.7/10000,2)</f>
        <v>0.07</v>
      </c>
      <c r="O7" s="412">
        <v>0</v>
      </c>
      <c r="P7" s="412">
        <f t="shared" ref="P7:P12" si="2">ROUND((1000*H7*0.7+300*H7*0.3+3600*0.7*H7+400*0.7*H7)/10000,2)</f>
        <v>1.44</v>
      </c>
      <c r="Q7" s="412">
        <f t="shared" ref="Q7:Q12" si="3">ROUND(7.5*G7/10000,2)</f>
        <v>4.92</v>
      </c>
      <c r="R7" s="412">
        <f t="shared" ref="R7:R12" si="4">ROUND((1.25*I7*12+10*4*I7)/10000,2)</f>
        <v>0.08</v>
      </c>
      <c r="S7" s="420">
        <f t="shared" ref="S7:S12" si="5">ROUND((240*I7+30*I7+150*0.1*I7)/10000,2)</f>
        <v>0.4</v>
      </c>
      <c r="T7" s="420">
        <f t="shared" ref="T7:T12" si="6">ROUND(30*6*I7/10000,2)</f>
        <v>0.25</v>
      </c>
      <c r="U7" s="420">
        <f t="shared" ref="U7:U12" si="7">ROUND(400*I7/10000,2)</f>
        <v>0.56</v>
      </c>
      <c r="V7" s="420">
        <f t="shared" ref="V7:V12" si="8">ROUND(37*G7/10000,2)</f>
        <v>24.29</v>
      </c>
      <c r="W7" s="420">
        <f t="shared" ref="W7:W12" si="9">ROUND(89*J7/10000,2)</f>
        <v>4.77</v>
      </c>
      <c r="X7" s="420">
        <f t="shared" ref="X7:X12" si="10">ROUND((100)*J7/10000,2)</f>
        <v>5.36</v>
      </c>
      <c r="Y7" s="420">
        <f>ROUND((10*1+8*F7),2)</f>
        <v>26</v>
      </c>
      <c r="Z7" s="427">
        <f>SUM(K7:Y7)</f>
        <v>79.11</v>
      </c>
      <c r="AA7" s="428"/>
    </row>
    <row r="8" s="309" customFormat="1" ht="50.1" customHeight="1" spans="1:256">
      <c r="A8" s="332" t="s">
        <v>24</v>
      </c>
      <c r="B8" s="333">
        <v>1836</v>
      </c>
      <c r="C8" s="334">
        <v>1</v>
      </c>
      <c r="D8" s="335">
        <v>1</v>
      </c>
      <c r="E8" s="335">
        <v>161</v>
      </c>
      <c r="F8" s="334"/>
      <c r="G8" s="336">
        <f t="shared" ref="G8:G12" si="11">ROUND(B8*6565/6645,0)</f>
        <v>1814</v>
      </c>
      <c r="H8" s="336">
        <f t="shared" ref="H8:H12" si="12">ROUND(C8*4/4,0)</f>
        <v>1</v>
      </c>
      <c r="I8" s="336">
        <f t="shared" ref="I8:I12" si="13">ROUND(D8*14/9,0)</f>
        <v>2</v>
      </c>
      <c r="J8" s="336">
        <f t="shared" ref="J8:J12" si="14">ROUND(E8*536/593,0)</f>
        <v>146</v>
      </c>
      <c r="K8" s="347">
        <f t="shared" si="0"/>
        <v>2.99</v>
      </c>
      <c r="L8" s="347">
        <f t="shared" ref="L8:L12" si="15">ROUND((180*H8+60*4*0.7*H8)/10000,0)</f>
        <v>0</v>
      </c>
      <c r="M8" s="413">
        <v>0</v>
      </c>
      <c r="N8" s="347">
        <f t="shared" si="1"/>
        <v>0.02</v>
      </c>
      <c r="O8" s="413">
        <v>0</v>
      </c>
      <c r="P8" s="347">
        <f t="shared" si="2"/>
        <v>0.36</v>
      </c>
      <c r="Q8" s="347">
        <f t="shared" si="3"/>
        <v>1.36</v>
      </c>
      <c r="R8" s="347">
        <f t="shared" si="4"/>
        <v>0.01</v>
      </c>
      <c r="S8" s="347">
        <f t="shared" si="5"/>
        <v>0.06</v>
      </c>
      <c r="T8" s="347">
        <f t="shared" si="6"/>
        <v>0.04</v>
      </c>
      <c r="U8" s="358">
        <f t="shared" si="7"/>
        <v>0.08</v>
      </c>
      <c r="V8" s="358">
        <f t="shared" si="8"/>
        <v>6.71</v>
      </c>
      <c r="W8" s="358">
        <f t="shared" si="9"/>
        <v>1.3</v>
      </c>
      <c r="X8" s="421">
        <f t="shared" si="10"/>
        <v>1.46</v>
      </c>
      <c r="Y8" s="429">
        <v>2</v>
      </c>
      <c r="Z8" s="413">
        <v>16.38</v>
      </c>
      <c r="AA8" s="361"/>
      <c r="AB8" s="361"/>
      <c r="AC8" s="361"/>
      <c r="AD8" s="361"/>
      <c r="AE8" s="361"/>
      <c r="AF8" s="361"/>
      <c r="AG8" s="361"/>
      <c r="AH8" s="361"/>
      <c r="AI8" s="361"/>
      <c r="AJ8" s="361"/>
      <c r="AK8" s="361"/>
      <c r="AL8" s="361"/>
      <c r="AM8" s="361"/>
      <c r="AN8" s="361"/>
      <c r="AO8" s="361"/>
      <c r="AP8" s="361"/>
      <c r="AQ8" s="361"/>
      <c r="AR8" s="361"/>
      <c r="AS8" s="361"/>
      <c r="AT8" s="361"/>
      <c r="AU8" s="361"/>
      <c r="AV8" s="361"/>
      <c r="AW8" s="361"/>
      <c r="AX8" s="361"/>
      <c r="AY8" s="361"/>
      <c r="AZ8" s="361"/>
      <c r="BA8" s="361"/>
      <c r="BB8" s="361"/>
      <c r="BC8" s="361"/>
      <c r="BD8" s="361"/>
      <c r="BE8" s="361"/>
      <c r="BF8" s="361"/>
      <c r="BG8" s="361"/>
      <c r="BH8" s="361"/>
      <c r="BI8" s="361"/>
      <c r="BJ8" s="361"/>
      <c r="BK8" s="361"/>
      <c r="BL8" s="361"/>
      <c r="BM8" s="361"/>
      <c r="BN8" s="361"/>
      <c r="BO8" s="361"/>
      <c r="BP8" s="361"/>
      <c r="BQ8" s="361"/>
      <c r="BR8" s="361"/>
      <c r="BS8" s="361"/>
      <c r="BT8" s="361"/>
      <c r="BU8" s="361"/>
      <c r="BV8" s="361"/>
      <c r="BW8" s="361"/>
      <c r="BX8" s="361"/>
      <c r="BY8" s="361"/>
      <c r="BZ8" s="361"/>
      <c r="CA8" s="361"/>
      <c r="CB8" s="361"/>
      <c r="CC8" s="361"/>
      <c r="CD8" s="361"/>
      <c r="CE8" s="361"/>
      <c r="CF8" s="361"/>
      <c r="CG8" s="361"/>
      <c r="CH8" s="361"/>
      <c r="CI8" s="361"/>
      <c r="CJ8" s="361"/>
      <c r="CK8" s="361"/>
      <c r="CL8" s="361"/>
      <c r="CM8" s="361"/>
      <c r="CN8" s="361"/>
      <c r="CO8" s="361"/>
      <c r="CP8" s="361"/>
      <c r="CQ8" s="361"/>
      <c r="CR8" s="361"/>
      <c r="CS8" s="361"/>
      <c r="CT8" s="361"/>
      <c r="CU8" s="361"/>
      <c r="CV8" s="361"/>
      <c r="CW8" s="361"/>
      <c r="CX8" s="361"/>
      <c r="CY8" s="361"/>
      <c r="CZ8" s="361"/>
      <c r="DA8" s="361"/>
      <c r="DB8" s="361"/>
      <c r="DC8" s="361"/>
      <c r="DD8" s="361"/>
      <c r="DE8" s="361"/>
      <c r="DF8" s="361"/>
      <c r="DG8" s="361"/>
      <c r="DH8" s="361"/>
      <c r="DI8" s="361"/>
      <c r="DJ8" s="361"/>
      <c r="DK8" s="361"/>
      <c r="DL8" s="361"/>
      <c r="DM8" s="361"/>
      <c r="DN8" s="361"/>
      <c r="DO8" s="361"/>
      <c r="DP8" s="361"/>
      <c r="DQ8" s="361"/>
      <c r="DR8" s="361"/>
      <c r="DS8" s="361"/>
      <c r="DT8" s="361"/>
      <c r="DU8" s="361"/>
      <c r="DV8" s="361"/>
      <c r="DW8" s="361"/>
      <c r="DX8" s="361"/>
      <c r="DY8" s="361"/>
      <c r="DZ8" s="361"/>
      <c r="EA8" s="361"/>
      <c r="EB8" s="361"/>
      <c r="EC8" s="361"/>
      <c r="ED8" s="361"/>
      <c r="EE8" s="361"/>
      <c r="EF8" s="361"/>
      <c r="EG8" s="361"/>
      <c r="EH8" s="361"/>
      <c r="EI8" s="361"/>
      <c r="EJ8" s="361"/>
      <c r="EK8" s="361"/>
      <c r="EL8" s="361"/>
      <c r="EM8" s="361"/>
      <c r="EN8" s="361"/>
      <c r="EO8" s="361"/>
      <c r="EP8" s="361"/>
      <c r="EQ8" s="361"/>
      <c r="ER8" s="361"/>
      <c r="ES8" s="361"/>
      <c r="ET8" s="361"/>
      <c r="EU8" s="361"/>
      <c r="EV8" s="361"/>
      <c r="EW8" s="361"/>
      <c r="EX8" s="361"/>
      <c r="EY8" s="361"/>
      <c r="EZ8" s="361"/>
      <c r="FA8" s="361"/>
      <c r="FB8" s="361"/>
      <c r="FC8" s="361"/>
      <c r="FD8" s="361"/>
      <c r="FE8" s="361"/>
      <c r="FF8" s="361"/>
      <c r="FG8" s="361"/>
      <c r="FH8" s="361"/>
      <c r="FI8" s="361"/>
      <c r="FJ8" s="361"/>
      <c r="FK8" s="361"/>
      <c r="FL8" s="361"/>
      <c r="FM8" s="361"/>
      <c r="FN8" s="361"/>
      <c r="FO8" s="361"/>
      <c r="FP8" s="361"/>
      <c r="FQ8" s="361"/>
      <c r="FR8" s="361"/>
      <c r="FS8" s="361"/>
      <c r="FT8" s="361"/>
      <c r="FU8" s="361"/>
      <c r="FV8" s="361"/>
      <c r="FW8" s="361"/>
      <c r="FX8" s="361"/>
      <c r="FY8" s="361"/>
      <c r="FZ8" s="361"/>
      <c r="GA8" s="361"/>
      <c r="GB8" s="361"/>
      <c r="GC8" s="361"/>
      <c r="GD8" s="361"/>
      <c r="GE8" s="361"/>
      <c r="GF8" s="361"/>
      <c r="GG8" s="361"/>
      <c r="GH8" s="361"/>
      <c r="GI8" s="361"/>
      <c r="GJ8" s="361"/>
      <c r="GK8" s="361"/>
      <c r="GL8" s="361"/>
      <c r="GM8" s="361"/>
      <c r="GN8" s="361"/>
      <c r="GO8" s="361"/>
      <c r="GP8" s="361"/>
      <c r="GQ8" s="361"/>
      <c r="GR8" s="361"/>
      <c r="GS8" s="361"/>
      <c r="GT8" s="361"/>
      <c r="GU8" s="361"/>
      <c r="GV8" s="361"/>
      <c r="GW8" s="361"/>
      <c r="GX8" s="361"/>
      <c r="GY8" s="361"/>
      <c r="GZ8" s="361"/>
      <c r="HA8" s="361"/>
      <c r="HB8" s="361"/>
      <c r="HC8" s="361"/>
      <c r="HD8" s="361"/>
      <c r="HE8" s="361"/>
      <c r="HF8" s="361"/>
      <c r="HG8" s="361"/>
      <c r="HH8" s="361"/>
      <c r="HI8" s="361"/>
      <c r="HJ8" s="361"/>
      <c r="HK8" s="361"/>
      <c r="HL8" s="361"/>
      <c r="HM8" s="361"/>
      <c r="HN8" s="361"/>
      <c r="HO8" s="361"/>
      <c r="HP8" s="361"/>
      <c r="HQ8" s="361"/>
      <c r="HR8" s="361"/>
      <c r="HS8" s="361"/>
      <c r="HT8" s="361"/>
      <c r="HU8" s="361"/>
      <c r="HV8" s="361"/>
      <c r="HW8" s="361"/>
      <c r="HX8" s="361"/>
      <c r="HY8" s="361"/>
      <c r="HZ8" s="361"/>
      <c r="IA8" s="361"/>
      <c r="IB8" s="361"/>
      <c r="IC8" s="361"/>
      <c r="ID8" s="361"/>
      <c r="IE8" s="361"/>
      <c r="IF8" s="361"/>
      <c r="IG8" s="361"/>
      <c r="IH8" s="361"/>
      <c r="II8" s="361"/>
      <c r="IJ8" s="361"/>
      <c r="IK8" s="361"/>
      <c r="IL8" s="361"/>
      <c r="IM8" s="361"/>
      <c r="IN8" s="361"/>
      <c r="IO8" s="361"/>
      <c r="IP8" s="361"/>
      <c r="IQ8" s="361"/>
      <c r="IR8" s="361"/>
      <c r="IS8" s="361"/>
      <c r="IT8" s="361"/>
      <c r="IU8" s="361"/>
      <c r="IV8" s="361"/>
    </row>
    <row r="9" s="309" customFormat="1" ht="50.1" customHeight="1" spans="1:256">
      <c r="A9" s="332" t="s">
        <v>25</v>
      </c>
      <c r="B9" s="333">
        <v>134</v>
      </c>
      <c r="C9" s="334">
        <v>0</v>
      </c>
      <c r="D9" s="335">
        <v>1</v>
      </c>
      <c r="E9" s="335">
        <v>16</v>
      </c>
      <c r="F9" s="334"/>
      <c r="G9" s="336">
        <f t="shared" si="11"/>
        <v>132</v>
      </c>
      <c r="H9" s="336">
        <f t="shared" si="12"/>
        <v>0</v>
      </c>
      <c r="I9" s="336">
        <v>1</v>
      </c>
      <c r="J9" s="336">
        <f t="shared" si="14"/>
        <v>14</v>
      </c>
      <c r="K9" s="347">
        <f t="shared" si="0"/>
        <v>0.22</v>
      </c>
      <c r="L9" s="347">
        <f t="shared" si="15"/>
        <v>0</v>
      </c>
      <c r="M9" s="413">
        <v>0</v>
      </c>
      <c r="N9" s="347">
        <f t="shared" si="1"/>
        <v>0</v>
      </c>
      <c r="O9" s="413">
        <v>0</v>
      </c>
      <c r="P9" s="347">
        <f t="shared" si="2"/>
        <v>0</v>
      </c>
      <c r="Q9" s="347">
        <f t="shared" si="3"/>
        <v>0.1</v>
      </c>
      <c r="R9" s="347">
        <f t="shared" si="4"/>
        <v>0.01</v>
      </c>
      <c r="S9" s="347">
        <f t="shared" si="5"/>
        <v>0.03</v>
      </c>
      <c r="T9" s="347">
        <f t="shared" si="6"/>
        <v>0.02</v>
      </c>
      <c r="U9" s="358">
        <f t="shared" si="7"/>
        <v>0.04</v>
      </c>
      <c r="V9" s="358">
        <f t="shared" si="8"/>
        <v>0.49</v>
      </c>
      <c r="W9" s="358">
        <f t="shared" si="9"/>
        <v>0.12</v>
      </c>
      <c r="X9" s="421">
        <f t="shared" si="10"/>
        <v>0.14</v>
      </c>
      <c r="Y9" s="429">
        <v>1</v>
      </c>
      <c r="Z9" s="413">
        <f>SUM(K9:Y9)</f>
        <v>2.17</v>
      </c>
      <c r="AA9" s="361"/>
      <c r="AB9" s="361"/>
      <c r="AC9" s="361"/>
      <c r="AD9" s="361"/>
      <c r="AE9" s="361"/>
      <c r="AF9" s="361"/>
      <c r="AG9" s="361"/>
      <c r="AH9" s="361"/>
      <c r="AI9" s="361"/>
      <c r="AJ9" s="361"/>
      <c r="AK9" s="361"/>
      <c r="AL9" s="361"/>
      <c r="AM9" s="361"/>
      <c r="AN9" s="361"/>
      <c r="AO9" s="361"/>
      <c r="AP9" s="361"/>
      <c r="AQ9" s="361"/>
      <c r="AR9" s="361"/>
      <c r="AS9" s="361"/>
      <c r="AT9" s="361"/>
      <c r="AU9" s="361"/>
      <c r="AV9" s="361"/>
      <c r="AW9" s="361"/>
      <c r="AX9" s="361"/>
      <c r="AY9" s="361"/>
      <c r="AZ9" s="361"/>
      <c r="BA9" s="361"/>
      <c r="BB9" s="361"/>
      <c r="BC9" s="361"/>
      <c r="BD9" s="361"/>
      <c r="BE9" s="361"/>
      <c r="BF9" s="361"/>
      <c r="BG9" s="361"/>
      <c r="BH9" s="361"/>
      <c r="BI9" s="361"/>
      <c r="BJ9" s="361"/>
      <c r="BK9" s="361"/>
      <c r="BL9" s="361"/>
      <c r="BM9" s="361"/>
      <c r="BN9" s="361"/>
      <c r="BO9" s="361"/>
      <c r="BP9" s="361"/>
      <c r="BQ9" s="361"/>
      <c r="BR9" s="361"/>
      <c r="BS9" s="361"/>
      <c r="BT9" s="361"/>
      <c r="BU9" s="361"/>
      <c r="BV9" s="361"/>
      <c r="BW9" s="361"/>
      <c r="BX9" s="361"/>
      <c r="BY9" s="361"/>
      <c r="BZ9" s="361"/>
      <c r="CA9" s="361"/>
      <c r="CB9" s="361"/>
      <c r="CC9" s="361"/>
      <c r="CD9" s="361"/>
      <c r="CE9" s="361"/>
      <c r="CF9" s="361"/>
      <c r="CG9" s="361"/>
      <c r="CH9" s="361"/>
      <c r="CI9" s="361"/>
      <c r="CJ9" s="361"/>
      <c r="CK9" s="361"/>
      <c r="CL9" s="361"/>
      <c r="CM9" s="361"/>
      <c r="CN9" s="361"/>
      <c r="CO9" s="361"/>
      <c r="CP9" s="361"/>
      <c r="CQ9" s="361"/>
      <c r="CR9" s="361"/>
      <c r="CS9" s="361"/>
      <c r="CT9" s="361"/>
      <c r="CU9" s="361"/>
      <c r="CV9" s="361"/>
      <c r="CW9" s="361"/>
      <c r="CX9" s="361"/>
      <c r="CY9" s="361"/>
      <c r="CZ9" s="361"/>
      <c r="DA9" s="361"/>
      <c r="DB9" s="361"/>
      <c r="DC9" s="361"/>
      <c r="DD9" s="361"/>
      <c r="DE9" s="361"/>
      <c r="DF9" s="361"/>
      <c r="DG9" s="361"/>
      <c r="DH9" s="361"/>
      <c r="DI9" s="361"/>
      <c r="DJ9" s="361"/>
      <c r="DK9" s="361"/>
      <c r="DL9" s="361"/>
      <c r="DM9" s="361"/>
      <c r="DN9" s="361"/>
      <c r="DO9" s="361"/>
      <c r="DP9" s="361"/>
      <c r="DQ9" s="361"/>
      <c r="DR9" s="361"/>
      <c r="DS9" s="361"/>
      <c r="DT9" s="361"/>
      <c r="DU9" s="361"/>
      <c r="DV9" s="361"/>
      <c r="DW9" s="361"/>
      <c r="DX9" s="361"/>
      <c r="DY9" s="361"/>
      <c r="DZ9" s="361"/>
      <c r="EA9" s="361"/>
      <c r="EB9" s="361"/>
      <c r="EC9" s="361"/>
      <c r="ED9" s="361"/>
      <c r="EE9" s="361"/>
      <c r="EF9" s="361"/>
      <c r="EG9" s="361"/>
      <c r="EH9" s="361"/>
      <c r="EI9" s="361"/>
      <c r="EJ9" s="361"/>
      <c r="EK9" s="361"/>
      <c r="EL9" s="361"/>
      <c r="EM9" s="361"/>
      <c r="EN9" s="361"/>
      <c r="EO9" s="361"/>
      <c r="EP9" s="361"/>
      <c r="EQ9" s="361"/>
      <c r="ER9" s="361"/>
      <c r="ES9" s="361"/>
      <c r="ET9" s="361"/>
      <c r="EU9" s="361"/>
      <c r="EV9" s="361"/>
      <c r="EW9" s="361"/>
      <c r="EX9" s="361"/>
      <c r="EY9" s="361"/>
      <c r="EZ9" s="361"/>
      <c r="FA9" s="361"/>
      <c r="FB9" s="361"/>
      <c r="FC9" s="361"/>
      <c r="FD9" s="361"/>
      <c r="FE9" s="361"/>
      <c r="FF9" s="361"/>
      <c r="FG9" s="361"/>
      <c r="FH9" s="361"/>
      <c r="FI9" s="361"/>
      <c r="FJ9" s="361"/>
      <c r="FK9" s="361"/>
      <c r="FL9" s="361"/>
      <c r="FM9" s="361"/>
      <c r="FN9" s="361"/>
      <c r="FO9" s="361"/>
      <c r="FP9" s="361"/>
      <c r="FQ9" s="361"/>
      <c r="FR9" s="361"/>
      <c r="FS9" s="361"/>
      <c r="FT9" s="361"/>
      <c r="FU9" s="361"/>
      <c r="FV9" s="361"/>
      <c r="FW9" s="361"/>
      <c r="FX9" s="361"/>
      <c r="FY9" s="361"/>
      <c r="FZ9" s="361"/>
      <c r="GA9" s="361"/>
      <c r="GB9" s="361"/>
      <c r="GC9" s="361"/>
      <c r="GD9" s="361"/>
      <c r="GE9" s="361"/>
      <c r="GF9" s="361"/>
      <c r="GG9" s="361"/>
      <c r="GH9" s="361"/>
      <c r="GI9" s="361"/>
      <c r="GJ9" s="361"/>
      <c r="GK9" s="361"/>
      <c r="GL9" s="361"/>
      <c r="GM9" s="361"/>
      <c r="GN9" s="361"/>
      <c r="GO9" s="361"/>
      <c r="GP9" s="361"/>
      <c r="GQ9" s="361"/>
      <c r="GR9" s="361"/>
      <c r="GS9" s="361"/>
      <c r="GT9" s="361"/>
      <c r="GU9" s="361"/>
      <c r="GV9" s="361"/>
      <c r="GW9" s="361"/>
      <c r="GX9" s="361"/>
      <c r="GY9" s="361"/>
      <c r="GZ9" s="361"/>
      <c r="HA9" s="361"/>
      <c r="HB9" s="361"/>
      <c r="HC9" s="361"/>
      <c r="HD9" s="361"/>
      <c r="HE9" s="361"/>
      <c r="HF9" s="361"/>
      <c r="HG9" s="361"/>
      <c r="HH9" s="361"/>
      <c r="HI9" s="361"/>
      <c r="HJ9" s="361"/>
      <c r="HK9" s="361"/>
      <c r="HL9" s="361"/>
      <c r="HM9" s="361"/>
      <c r="HN9" s="361"/>
      <c r="HO9" s="361"/>
      <c r="HP9" s="361"/>
      <c r="HQ9" s="361"/>
      <c r="HR9" s="361"/>
      <c r="HS9" s="361"/>
      <c r="HT9" s="361"/>
      <c r="HU9" s="361"/>
      <c r="HV9" s="361"/>
      <c r="HW9" s="361"/>
      <c r="HX9" s="361"/>
      <c r="HY9" s="361"/>
      <c r="HZ9" s="361"/>
      <c r="IA9" s="361"/>
      <c r="IB9" s="361"/>
      <c r="IC9" s="361"/>
      <c r="ID9" s="361"/>
      <c r="IE9" s="361"/>
      <c r="IF9" s="361"/>
      <c r="IG9" s="361"/>
      <c r="IH9" s="361"/>
      <c r="II9" s="361"/>
      <c r="IJ9" s="361"/>
      <c r="IK9" s="361"/>
      <c r="IL9" s="361"/>
      <c r="IM9" s="361"/>
      <c r="IN9" s="361"/>
      <c r="IO9" s="361"/>
      <c r="IP9" s="361"/>
      <c r="IQ9" s="361"/>
      <c r="IR9" s="361"/>
      <c r="IS9" s="361"/>
      <c r="IT9" s="361"/>
      <c r="IU9" s="361"/>
      <c r="IV9" s="361"/>
    </row>
    <row r="10" s="309" customFormat="1" ht="50.1" customHeight="1" spans="1:256">
      <c r="A10" s="332" t="s">
        <v>26</v>
      </c>
      <c r="B10" s="333">
        <v>3730</v>
      </c>
      <c r="C10" s="334">
        <v>3</v>
      </c>
      <c r="D10" s="335">
        <v>5</v>
      </c>
      <c r="E10" s="335">
        <v>319</v>
      </c>
      <c r="F10" s="334"/>
      <c r="G10" s="336">
        <f t="shared" si="11"/>
        <v>3685</v>
      </c>
      <c r="H10" s="336">
        <f t="shared" si="12"/>
        <v>3</v>
      </c>
      <c r="I10" s="336">
        <f t="shared" si="13"/>
        <v>8</v>
      </c>
      <c r="J10" s="336">
        <f t="shared" si="14"/>
        <v>288</v>
      </c>
      <c r="K10" s="347">
        <f t="shared" si="0"/>
        <v>6.08</v>
      </c>
      <c r="L10" s="347">
        <v>0.14</v>
      </c>
      <c r="M10" s="413">
        <v>0</v>
      </c>
      <c r="N10" s="347">
        <f t="shared" si="1"/>
        <v>0.05</v>
      </c>
      <c r="O10" s="413">
        <v>0</v>
      </c>
      <c r="P10" s="347">
        <f t="shared" si="2"/>
        <v>1.08</v>
      </c>
      <c r="Q10" s="347">
        <f t="shared" si="3"/>
        <v>2.76</v>
      </c>
      <c r="R10" s="347">
        <f t="shared" si="4"/>
        <v>0.04</v>
      </c>
      <c r="S10" s="347">
        <f t="shared" si="5"/>
        <v>0.23</v>
      </c>
      <c r="T10" s="347">
        <f t="shared" si="6"/>
        <v>0.14</v>
      </c>
      <c r="U10" s="358">
        <f t="shared" si="7"/>
        <v>0.32</v>
      </c>
      <c r="V10" s="358">
        <f t="shared" si="8"/>
        <v>13.63</v>
      </c>
      <c r="W10" s="358">
        <f t="shared" si="9"/>
        <v>2.56</v>
      </c>
      <c r="X10" s="421">
        <f t="shared" si="10"/>
        <v>2.88</v>
      </c>
      <c r="Y10" s="429">
        <v>7</v>
      </c>
      <c r="Z10" s="413">
        <f>SUM(K10:Y10)</f>
        <v>36.91</v>
      </c>
      <c r="AA10" s="361"/>
      <c r="AB10" s="361"/>
      <c r="AC10" s="361"/>
      <c r="AD10" s="361"/>
      <c r="AE10" s="361"/>
      <c r="AF10" s="361"/>
      <c r="AG10" s="361"/>
      <c r="AH10" s="361"/>
      <c r="AI10" s="361"/>
      <c r="AJ10" s="361"/>
      <c r="AK10" s="361"/>
      <c r="AL10" s="361"/>
      <c r="AM10" s="361"/>
      <c r="AN10" s="361"/>
      <c r="AO10" s="361"/>
      <c r="AP10" s="361"/>
      <c r="AQ10" s="361"/>
      <c r="AR10" s="361"/>
      <c r="AS10" s="361"/>
      <c r="AT10" s="361"/>
      <c r="AU10" s="361"/>
      <c r="AV10" s="361"/>
      <c r="AW10" s="361"/>
      <c r="AX10" s="361"/>
      <c r="AY10" s="361"/>
      <c r="AZ10" s="361"/>
      <c r="BA10" s="361"/>
      <c r="BB10" s="361"/>
      <c r="BC10" s="361"/>
      <c r="BD10" s="361"/>
      <c r="BE10" s="361"/>
      <c r="BF10" s="361"/>
      <c r="BG10" s="361"/>
      <c r="BH10" s="361"/>
      <c r="BI10" s="361"/>
      <c r="BJ10" s="361"/>
      <c r="BK10" s="361"/>
      <c r="BL10" s="361"/>
      <c r="BM10" s="361"/>
      <c r="BN10" s="361"/>
      <c r="BO10" s="361"/>
      <c r="BP10" s="361"/>
      <c r="BQ10" s="361"/>
      <c r="BR10" s="361"/>
      <c r="BS10" s="361"/>
      <c r="BT10" s="361"/>
      <c r="BU10" s="361"/>
      <c r="BV10" s="361"/>
      <c r="BW10" s="361"/>
      <c r="BX10" s="361"/>
      <c r="BY10" s="361"/>
      <c r="BZ10" s="361"/>
      <c r="CA10" s="361"/>
      <c r="CB10" s="361"/>
      <c r="CC10" s="361"/>
      <c r="CD10" s="361"/>
      <c r="CE10" s="361"/>
      <c r="CF10" s="361"/>
      <c r="CG10" s="361"/>
      <c r="CH10" s="361"/>
      <c r="CI10" s="361"/>
      <c r="CJ10" s="361"/>
      <c r="CK10" s="361"/>
      <c r="CL10" s="361"/>
      <c r="CM10" s="361"/>
      <c r="CN10" s="361"/>
      <c r="CO10" s="361"/>
      <c r="CP10" s="361"/>
      <c r="CQ10" s="361"/>
      <c r="CR10" s="361"/>
      <c r="CS10" s="361"/>
      <c r="CT10" s="361"/>
      <c r="CU10" s="361"/>
      <c r="CV10" s="361"/>
      <c r="CW10" s="361"/>
      <c r="CX10" s="361"/>
      <c r="CY10" s="361"/>
      <c r="CZ10" s="361"/>
      <c r="DA10" s="361"/>
      <c r="DB10" s="361"/>
      <c r="DC10" s="361"/>
      <c r="DD10" s="361"/>
      <c r="DE10" s="361"/>
      <c r="DF10" s="361"/>
      <c r="DG10" s="361"/>
      <c r="DH10" s="361"/>
      <c r="DI10" s="361"/>
      <c r="DJ10" s="361"/>
      <c r="DK10" s="361"/>
      <c r="DL10" s="361"/>
      <c r="DM10" s="361"/>
      <c r="DN10" s="361"/>
      <c r="DO10" s="361"/>
      <c r="DP10" s="361"/>
      <c r="DQ10" s="361"/>
      <c r="DR10" s="361"/>
      <c r="DS10" s="361"/>
      <c r="DT10" s="361"/>
      <c r="DU10" s="361"/>
      <c r="DV10" s="361"/>
      <c r="DW10" s="361"/>
      <c r="DX10" s="361"/>
      <c r="DY10" s="361"/>
      <c r="DZ10" s="361"/>
      <c r="EA10" s="361"/>
      <c r="EB10" s="361"/>
      <c r="EC10" s="361"/>
      <c r="ED10" s="361"/>
      <c r="EE10" s="361"/>
      <c r="EF10" s="361"/>
      <c r="EG10" s="361"/>
      <c r="EH10" s="361"/>
      <c r="EI10" s="361"/>
      <c r="EJ10" s="361"/>
      <c r="EK10" s="361"/>
      <c r="EL10" s="361"/>
      <c r="EM10" s="361"/>
      <c r="EN10" s="361"/>
      <c r="EO10" s="361"/>
      <c r="EP10" s="361"/>
      <c r="EQ10" s="361"/>
      <c r="ER10" s="361"/>
      <c r="ES10" s="361"/>
      <c r="ET10" s="361"/>
      <c r="EU10" s="361"/>
      <c r="EV10" s="361"/>
      <c r="EW10" s="361"/>
      <c r="EX10" s="361"/>
      <c r="EY10" s="361"/>
      <c r="EZ10" s="361"/>
      <c r="FA10" s="361"/>
      <c r="FB10" s="361"/>
      <c r="FC10" s="361"/>
      <c r="FD10" s="361"/>
      <c r="FE10" s="361"/>
      <c r="FF10" s="361"/>
      <c r="FG10" s="361"/>
      <c r="FH10" s="361"/>
      <c r="FI10" s="361"/>
      <c r="FJ10" s="361"/>
      <c r="FK10" s="361"/>
      <c r="FL10" s="361"/>
      <c r="FM10" s="361"/>
      <c r="FN10" s="361"/>
      <c r="FO10" s="361"/>
      <c r="FP10" s="361"/>
      <c r="FQ10" s="361"/>
      <c r="FR10" s="361"/>
      <c r="FS10" s="361"/>
      <c r="FT10" s="361"/>
      <c r="FU10" s="361"/>
      <c r="FV10" s="361"/>
      <c r="FW10" s="361"/>
      <c r="FX10" s="361"/>
      <c r="FY10" s="361"/>
      <c r="FZ10" s="361"/>
      <c r="GA10" s="361"/>
      <c r="GB10" s="361"/>
      <c r="GC10" s="361"/>
      <c r="GD10" s="361"/>
      <c r="GE10" s="361"/>
      <c r="GF10" s="361"/>
      <c r="GG10" s="361"/>
      <c r="GH10" s="361"/>
      <c r="GI10" s="361"/>
      <c r="GJ10" s="361"/>
      <c r="GK10" s="361"/>
      <c r="GL10" s="361"/>
      <c r="GM10" s="361"/>
      <c r="GN10" s="361"/>
      <c r="GO10" s="361"/>
      <c r="GP10" s="361"/>
      <c r="GQ10" s="361"/>
      <c r="GR10" s="361"/>
      <c r="GS10" s="361"/>
      <c r="GT10" s="361"/>
      <c r="GU10" s="361"/>
      <c r="GV10" s="361"/>
      <c r="GW10" s="361"/>
      <c r="GX10" s="361"/>
      <c r="GY10" s="361"/>
      <c r="GZ10" s="361"/>
      <c r="HA10" s="361"/>
      <c r="HB10" s="361"/>
      <c r="HC10" s="361"/>
      <c r="HD10" s="361"/>
      <c r="HE10" s="361"/>
      <c r="HF10" s="361"/>
      <c r="HG10" s="361"/>
      <c r="HH10" s="361"/>
      <c r="HI10" s="361"/>
      <c r="HJ10" s="361"/>
      <c r="HK10" s="361"/>
      <c r="HL10" s="361"/>
      <c r="HM10" s="361"/>
      <c r="HN10" s="361"/>
      <c r="HO10" s="361"/>
      <c r="HP10" s="361"/>
      <c r="HQ10" s="361"/>
      <c r="HR10" s="361"/>
      <c r="HS10" s="361"/>
      <c r="HT10" s="361"/>
      <c r="HU10" s="361"/>
      <c r="HV10" s="361"/>
      <c r="HW10" s="361"/>
      <c r="HX10" s="361"/>
      <c r="HY10" s="361"/>
      <c r="HZ10" s="361"/>
      <c r="IA10" s="361"/>
      <c r="IB10" s="361"/>
      <c r="IC10" s="361"/>
      <c r="ID10" s="361"/>
      <c r="IE10" s="361"/>
      <c r="IF10" s="361"/>
      <c r="IG10" s="361"/>
      <c r="IH10" s="361"/>
      <c r="II10" s="361"/>
      <c r="IJ10" s="361"/>
      <c r="IK10" s="361"/>
      <c r="IL10" s="361"/>
      <c r="IM10" s="361"/>
      <c r="IN10" s="361"/>
      <c r="IO10" s="361"/>
      <c r="IP10" s="361"/>
      <c r="IQ10" s="361"/>
      <c r="IR10" s="361"/>
      <c r="IS10" s="361"/>
      <c r="IT10" s="361"/>
      <c r="IU10" s="361"/>
      <c r="IV10" s="361"/>
    </row>
    <row r="11" s="309" customFormat="1" ht="50.1" customHeight="1" spans="1:256">
      <c r="A11" s="405" t="s">
        <v>32</v>
      </c>
      <c r="B11" s="333">
        <v>662</v>
      </c>
      <c r="C11" s="334">
        <v>0</v>
      </c>
      <c r="D11" s="335">
        <v>1</v>
      </c>
      <c r="E11" s="335">
        <v>67</v>
      </c>
      <c r="F11" s="334">
        <v>1</v>
      </c>
      <c r="G11" s="336">
        <f t="shared" si="11"/>
        <v>654</v>
      </c>
      <c r="H11" s="336">
        <f t="shared" si="12"/>
        <v>0</v>
      </c>
      <c r="I11" s="336">
        <v>1</v>
      </c>
      <c r="J11" s="336">
        <f t="shared" si="14"/>
        <v>61</v>
      </c>
      <c r="K11" s="347">
        <f t="shared" si="0"/>
        <v>1.08</v>
      </c>
      <c r="L11" s="347">
        <f t="shared" si="15"/>
        <v>0</v>
      </c>
      <c r="M11" s="413">
        <v>0</v>
      </c>
      <c r="N11" s="347">
        <f t="shared" si="1"/>
        <v>0</v>
      </c>
      <c r="O11" s="413">
        <v>0</v>
      </c>
      <c r="P11" s="347">
        <f t="shared" si="2"/>
        <v>0</v>
      </c>
      <c r="Q11" s="347">
        <f t="shared" si="3"/>
        <v>0.49</v>
      </c>
      <c r="R11" s="347">
        <f t="shared" si="4"/>
        <v>0.01</v>
      </c>
      <c r="S11" s="347">
        <f t="shared" si="5"/>
        <v>0.03</v>
      </c>
      <c r="T11" s="347">
        <f t="shared" si="6"/>
        <v>0.02</v>
      </c>
      <c r="U11" s="358">
        <f t="shared" si="7"/>
        <v>0.04</v>
      </c>
      <c r="V11" s="358">
        <f t="shared" si="8"/>
        <v>2.42</v>
      </c>
      <c r="W11" s="358">
        <f t="shared" si="9"/>
        <v>0.54</v>
      </c>
      <c r="X11" s="421">
        <f t="shared" si="10"/>
        <v>0.61</v>
      </c>
      <c r="Y11" s="429">
        <v>8</v>
      </c>
      <c r="Z11" s="413">
        <f>SUM(K11:Y11)</f>
        <v>13.24</v>
      </c>
      <c r="AA11" s="361"/>
      <c r="AB11" s="361"/>
      <c r="AC11" s="361"/>
      <c r="AD11" s="361"/>
      <c r="AE11" s="361"/>
      <c r="AF11" s="361"/>
      <c r="AG11" s="361"/>
      <c r="AH11" s="361"/>
      <c r="AI11" s="361"/>
      <c r="AJ11" s="361"/>
      <c r="AK11" s="361"/>
      <c r="AL11" s="361"/>
      <c r="AM11" s="361"/>
      <c r="AN11" s="361"/>
      <c r="AO11" s="361"/>
      <c r="AP11" s="361"/>
      <c r="AQ11" s="361"/>
      <c r="AR11" s="361"/>
      <c r="AS11" s="361"/>
      <c r="AT11" s="361"/>
      <c r="AU11" s="361"/>
      <c r="AV11" s="361"/>
      <c r="AW11" s="361"/>
      <c r="AX11" s="361"/>
      <c r="AY11" s="361"/>
      <c r="AZ11" s="361"/>
      <c r="BA11" s="361"/>
      <c r="BB11" s="361"/>
      <c r="BC11" s="361"/>
      <c r="BD11" s="361"/>
      <c r="BE11" s="361"/>
      <c r="BF11" s="361"/>
      <c r="BG11" s="361"/>
      <c r="BH11" s="361"/>
      <c r="BI11" s="361"/>
      <c r="BJ11" s="361"/>
      <c r="BK11" s="361"/>
      <c r="BL11" s="361"/>
      <c r="BM11" s="361"/>
      <c r="BN11" s="361"/>
      <c r="BO11" s="361"/>
      <c r="BP11" s="361"/>
      <c r="BQ11" s="361"/>
      <c r="BR11" s="361"/>
      <c r="BS11" s="361"/>
      <c r="BT11" s="361"/>
      <c r="BU11" s="361"/>
      <c r="BV11" s="361"/>
      <c r="BW11" s="361"/>
      <c r="BX11" s="361"/>
      <c r="BY11" s="361"/>
      <c r="BZ11" s="361"/>
      <c r="CA11" s="361"/>
      <c r="CB11" s="361"/>
      <c r="CC11" s="361"/>
      <c r="CD11" s="361"/>
      <c r="CE11" s="361"/>
      <c r="CF11" s="361"/>
      <c r="CG11" s="361"/>
      <c r="CH11" s="361"/>
      <c r="CI11" s="361"/>
      <c r="CJ11" s="361"/>
      <c r="CK11" s="361"/>
      <c r="CL11" s="361"/>
      <c r="CM11" s="361"/>
      <c r="CN11" s="361"/>
      <c r="CO11" s="361"/>
      <c r="CP11" s="361"/>
      <c r="CQ11" s="361"/>
      <c r="CR11" s="361"/>
      <c r="CS11" s="361"/>
      <c r="CT11" s="361"/>
      <c r="CU11" s="361"/>
      <c r="CV11" s="361"/>
      <c r="CW11" s="361"/>
      <c r="CX11" s="361"/>
      <c r="CY11" s="361"/>
      <c r="CZ11" s="361"/>
      <c r="DA11" s="361"/>
      <c r="DB11" s="361"/>
      <c r="DC11" s="361"/>
      <c r="DD11" s="361"/>
      <c r="DE11" s="361"/>
      <c r="DF11" s="361"/>
      <c r="DG11" s="361"/>
      <c r="DH11" s="361"/>
      <c r="DI11" s="361"/>
      <c r="DJ11" s="361"/>
      <c r="DK11" s="361"/>
      <c r="DL11" s="361"/>
      <c r="DM11" s="361"/>
      <c r="DN11" s="361"/>
      <c r="DO11" s="361"/>
      <c r="DP11" s="361"/>
      <c r="DQ11" s="361"/>
      <c r="DR11" s="361"/>
      <c r="DS11" s="361"/>
      <c r="DT11" s="361"/>
      <c r="DU11" s="361"/>
      <c r="DV11" s="361"/>
      <c r="DW11" s="361"/>
      <c r="DX11" s="361"/>
      <c r="DY11" s="361"/>
      <c r="DZ11" s="361"/>
      <c r="EA11" s="361"/>
      <c r="EB11" s="361"/>
      <c r="EC11" s="361"/>
      <c r="ED11" s="361"/>
      <c r="EE11" s="361"/>
      <c r="EF11" s="361"/>
      <c r="EG11" s="361"/>
      <c r="EH11" s="361"/>
      <c r="EI11" s="361"/>
      <c r="EJ11" s="361"/>
      <c r="EK11" s="361"/>
      <c r="EL11" s="361"/>
      <c r="EM11" s="361"/>
      <c r="EN11" s="361"/>
      <c r="EO11" s="361"/>
      <c r="EP11" s="361"/>
      <c r="EQ11" s="361"/>
      <c r="ER11" s="361"/>
      <c r="ES11" s="361"/>
      <c r="ET11" s="361"/>
      <c r="EU11" s="361"/>
      <c r="EV11" s="361"/>
      <c r="EW11" s="361"/>
      <c r="EX11" s="361"/>
      <c r="EY11" s="361"/>
      <c r="EZ11" s="361"/>
      <c r="FA11" s="361"/>
      <c r="FB11" s="361"/>
      <c r="FC11" s="361"/>
      <c r="FD11" s="361"/>
      <c r="FE11" s="361"/>
      <c r="FF11" s="361"/>
      <c r="FG11" s="361"/>
      <c r="FH11" s="361"/>
      <c r="FI11" s="361"/>
      <c r="FJ11" s="361"/>
      <c r="FK11" s="361"/>
      <c r="FL11" s="361"/>
      <c r="FM11" s="361"/>
      <c r="FN11" s="361"/>
      <c r="FO11" s="361"/>
      <c r="FP11" s="361"/>
      <c r="FQ11" s="361"/>
      <c r="FR11" s="361"/>
      <c r="FS11" s="361"/>
      <c r="FT11" s="361"/>
      <c r="FU11" s="361"/>
      <c r="FV11" s="361"/>
      <c r="FW11" s="361"/>
      <c r="FX11" s="361"/>
      <c r="FY11" s="361"/>
      <c r="FZ11" s="361"/>
      <c r="GA11" s="361"/>
      <c r="GB11" s="361"/>
      <c r="GC11" s="361"/>
      <c r="GD11" s="361"/>
      <c r="GE11" s="361"/>
      <c r="GF11" s="361"/>
      <c r="GG11" s="361"/>
      <c r="GH11" s="361"/>
      <c r="GI11" s="361"/>
      <c r="GJ11" s="361"/>
      <c r="GK11" s="361"/>
      <c r="GL11" s="361"/>
      <c r="GM11" s="361"/>
      <c r="GN11" s="361"/>
      <c r="GO11" s="361"/>
      <c r="GP11" s="361"/>
      <c r="GQ11" s="361"/>
      <c r="GR11" s="361"/>
      <c r="GS11" s="361"/>
      <c r="GT11" s="361"/>
      <c r="GU11" s="361"/>
      <c r="GV11" s="361"/>
      <c r="GW11" s="361"/>
      <c r="GX11" s="361"/>
      <c r="GY11" s="361"/>
      <c r="GZ11" s="361"/>
      <c r="HA11" s="361"/>
      <c r="HB11" s="361"/>
      <c r="HC11" s="361"/>
      <c r="HD11" s="361"/>
      <c r="HE11" s="361"/>
      <c r="HF11" s="361"/>
      <c r="HG11" s="361"/>
      <c r="HH11" s="361"/>
      <c r="HI11" s="361"/>
      <c r="HJ11" s="361"/>
      <c r="HK11" s="361"/>
      <c r="HL11" s="361"/>
      <c r="HM11" s="361"/>
      <c r="HN11" s="361"/>
      <c r="HO11" s="361"/>
      <c r="HP11" s="361"/>
      <c r="HQ11" s="361"/>
      <c r="HR11" s="361"/>
      <c r="HS11" s="361"/>
      <c r="HT11" s="361"/>
      <c r="HU11" s="361"/>
      <c r="HV11" s="361"/>
      <c r="HW11" s="361"/>
      <c r="HX11" s="361"/>
      <c r="HY11" s="361"/>
      <c r="HZ11" s="361"/>
      <c r="IA11" s="361"/>
      <c r="IB11" s="361"/>
      <c r="IC11" s="361"/>
      <c r="ID11" s="361"/>
      <c r="IE11" s="361"/>
      <c r="IF11" s="361"/>
      <c r="IG11" s="361"/>
      <c r="IH11" s="361"/>
      <c r="II11" s="361"/>
      <c r="IJ11" s="361"/>
      <c r="IK11" s="361"/>
      <c r="IL11" s="361"/>
      <c r="IM11" s="361"/>
      <c r="IN11" s="361"/>
      <c r="IO11" s="361"/>
      <c r="IP11" s="361"/>
      <c r="IQ11" s="361"/>
      <c r="IR11" s="361"/>
      <c r="IS11" s="361"/>
      <c r="IT11" s="361"/>
      <c r="IU11" s="361"/>
      <c r="IV11" s="361"/>
    </row>
    <row r="12" s="309" customFormat="1" ht="50.1" customHeight="1" spans="1:256">
      <c r="A12" s="405" t="s">
        <v>33</v>
      </c>
      <c r="B12" s="333">
        <v>283</v>
      </c>
      <c r="C12" s="334">
        <v>0</v>
      </c>
      <c r="D12" s="335">
        <v>1</v>
      </c>
      <c r="E12" s="335">
        <v>30</v>
      </c>
      <c r="F12" s="334">
        <v>1</v>
      </c>
      <c r="G12" s="336">
        <f t="shared" si="11"/>
        <v>280</v>
      </c>
      <c r="H12" s="336">
        <f t="shared" si="12"/>
        <v>0</v>
      </c>
      <c r="I12" s="336">
        <f t="shared" si="13"/>
        <v>2</v>
      </c>
      <c r="J12" s="336">
        <f t="shared" si="14"/>
        <v>27</v>
      </c>
      <c r="K12" s="347">
        <f t="shared" si="0"/>
        <v>0.46</v>
      </c>
      <c r="L12" s="347">
        <f t="shared" si="15"/>
        <v>0</v>
      </c>
      <c r="M12" s="413">
        <v>0</v>
      </c>
      <c r="N12" s="347">
        <f t="shared" si="1"/>
        <v>0</v>
      </c>
      <c r="O12" s="413">
        <v>0</v>
      </c>
      <c r="P12" s="347">
        <f t="shared" si="2"/>
        <v>0</v>
      </c>
      <c r="Q12" s="347">
        <f t="shared" si="3"/>
        <v>0.21</v>
      </c>
      <c r="R12" s="347">
        <f t="shared" si="4"/>
        <v>0.01</v>
      </c>
      <c r="S12" s="347">
        <f t="shared" si="5"/>
        <v>0.06</v>
      </c>
      <c r="T12" s="347">
        <f t="shared" si="6"/>
        <v>0.04</v>
      </c>
      <c r="U12" s="358">
        <f t="shared" si="7"/>
        <v>0.08</v>
      </c>
      <c r="V12" s="358">
        <f t="shared" si="8"/>
        <v>1.04</v>
      </c>
      <c r="W12" s="358">
        <f t="shared" si="9"/>
        <v>0.24</v>
      </c>
      <c r="X12" s="421">
        <f t="shared" si="10"/>
        <v>0.27</v>
      </c>
      <c r="Y12" s="429">
        <v>8</v>
      </c>
      <c r="Z12" s="413">
        <f>SUM(K12:Y12)</f>
        <v>10.41</v>
      </c>
      <c r="AA12" s="361"/>
      <c r="AB12" s="361"/>
      <c r="AC12" s="361"/>
      <c r="AD12" s="361"/>
      <c r="AE12" s="361"/>
      <c r="AF12" s="361"/>
      <c r="AG12" s="361"/>
      <c r="AH12" s="361"/>
      <c r="AI12" s="361"/>
      <c r="AJ12" s="361"/>
      <c r="AK12" s="361"/>
      <c r="AL12" s="361"/>
      <c r="AM12" s="361"/>
      <c r="AN12" s="361"/>
      <c r="AO12" s="361"/>
      <c r="AP12" s="361"/>
      <c r="AQ12" s="361"/>
      <c r="AR12" s="361"/>
      <c r="AS12" s="361"/>
      <c r="AT12" s="361"/>
      <c r="AU12" s="361"/>
      <c r="AV12" s="361"/>
      <c r="AW12" s="361"/>
      <c r="AX12" s="361"/>
      <c r="AY12" s="361"/>
      <c r="AZ12" s="361"/>
      <c r="BA12" s="361"/>
      <c r="BB12" s="361"/>
      <c r="BC12" s="361"/>
      <c r="BD12" s="361"/>
      <c r="BE12" s="361"/>
      <c r="BF12" s="361"/>
      <c r="BG12" s="361"/>
      <c r="BH12" s="361"/>
      <c r="BI12" s="361"/>
      <c r="BJ12" s="361"/>
      <c r="BK12" s="361"/>
      <c r="BL12" s="361"/>
      <c r="BM12" s="361"/>
      <c r="BN12" s="361"/>
      <c r="BO12" s="361"/>
      <c r="BP12" s="361"/>
      <c r="BQ12" s="361"/>
      <c r="BR12" s="361"/>
      <c r="BS12" s="361"/>
      <c r="BT12" s="361"/>
      <c r="BU12" s="361"/>
      <c r="BV12" s="361"/>
      <c r="BW12" s="361"/>
      <c r="BX12" s="361"/>
      <c r="BY12" s="361"/>
      <c r="BZ12" s="361"/>
      <c r="CA12" s="361"/>
      <c r="CB12" s="361"/>
      <c r="CC12" s="361"/>
      <c r="CD12" s="361"/>
      <c r="CE12" s="361"/>
      <c r="CF12" s="361"/>
      <c r="CG12" s="361"/>
      <c r="CH12" s="361"/>
      <c r="CI12" s="361"/>
      <c r="CJ12" s="361"/>
      <c r="CK12" s="361"/>
      <c r="CL12" s="361"/>
      <c r="CM12" s="361"/>
      <c r="CN12" s="361"/>
      <c r="CO12" s="361"/>
      <c r="CP12" s="361"/>
      <c r="CQ12" s="361"/>
      <c r="CR12" s="361"/>
      <c r="CS12" s="361"/>
      <c r="CT12" s="361"/>
      <c r="CU12" s="361"/>
      <c r="CV12" s="361"/>
      <c r="CW12" s="361"/>
      <c r="CX12" s="361"/>
      <c r="CY12" s="361"/>
      <c r="CZ12" s="361"/>
      <c r="DA12" s="361"/>
      <c r="DB12" s="361"/>
      <c r="DC12" s="361"/>
      <c r="DD12" s="361"/>
      <c r="DE12" s="361"/>
      <c r="DF12" s="361"/>
      <c r="DG12" s="361"/>
      <c r="DH12" s="361"/>
      <c r="DI12" s="361"/>
      <c r="DJ12" s="361"/>
      <c r="DK12" s="361"/>
      <c r="DL12" s="361"/>
      <c r="DM12" s="361"/>
      <c r="DN12" s="361"/>
      <c r="DO12" s="361"/>
      <c r="DP12" s="361"/>
      <c r="DQ12" s="361"/>
      <c r="DR12" s="361"/>
      <c r="DS12" s="361"/>
      <c r="DT12" s="361"/>
      <c r="DU12" s="361"/>
      <c r="DV12" s="361"/>
      <c r="DW12" s="361"/>
      <c r="DX12" s="361"/>
      <c r="DY12" s="361"/>
      <c r="DZ12" s="361"/>
      <c r="EA12" s="361"/>
      <c r="EB12" s="361"/>
      <c r="EC12" s="361"/>
      <c r="ED12" s="361"/>
      <c r="EE12" s="361"/>
      <c r="EF12" s="361"/>
      <c r="EG12" s="361"/>
      <c r="EH12" s="361"/>
      <c r="EI12" s="361"/>
      <c r="EJ12" s="361"/>
      <c r="EK12" s="361"/>
      <c r="EL12" s="361"/>
      <c r="EM12" s="361"/>
      <c r="EN12" s="361"/>
      <c r="EO12" s="361"/>
      <c r="EP12" s="361"/>
      <c r="EQ12" s="361"/>
      <c r="ER12" s="361"/>
      <c r="ES12" s="361"/>
      <c r="ET12" s="361"/>
      <c r="EU12" s="361"/>
      <c r="EV12" s="361"/>
      <c r="EW12" s="361"/>
      <c r="EX12" s="361"/>
      <c r="EY12" s="361"/>
      <c r="EZ12" s="361"/>
      <c r="FA12" s="361"/>
      <c r="FB12" s="361"/>
      <c r="FC12" s="361"/>
      <c r="FD12" s="361"/>
      <c r="FE12" s="361"/>
      <c r="FF12" s="361"/>
      <c r="FG12" s="361"/>
      <c r="FH12" s="361"/>
      <c r="FI12" s="361"/>
      <c r="FJ12" s="361"/>
      <c r="FK12" s="361"/>
      <c r="FL12" s="361"/>
      <c r="FM12" s="361"/>
      <c r="FN12" s="361"/>
      <c r="FO12" s="361"/>
      <c r="FP12" s="361"/>
      <c r="FQ12" s="361"/>
      <c r="FR12" s="361"/>
      <c r="FS12" s="361"/>
      <c r="FT12" s="361"/>
      <c r="FU12" s="361"/>
      <c r="FV12" s="361"/>
      <c r="FW12" s="361"/>
      <c r="FX12" s="361"/>
      <c r="FY12" s="361"/>
      <c r="FZ12" s="361"/>
      <c r="GA12" s="361"/>
      <c r="GB12" s="361"/>
      <c r="GC12" s="361"/>
      <c r="GD12" s="361"/>
      <c r="GE12" s="361"/>
      <c r="GF12" s="361"/>
      <c r="GG12" s="361"/>
      <c r="GH12" s="361"/>
      <c r="GI12" s="361"/>
      <c r="GJ12" s="361"/>
      <c r="GK12" s="361"/>
      <c r="GL12" s="361"/>
      <c r="GM12" s="361"/>
      <c r="GN12" s="361"/>
      <c r="GO12" s="361"/>
      <c r="GP12" s="361"/>
      <c r="GQ12" s="361"/>
      <c r="GR12" s="361"/>
      <c r="GS12" s="361"/>
      <c r="GT12" s="361"/>
      <c r="GU12" s="361"/>
      <c r="GV12" s="361"/>
      <c r="GW12" s="361"/>
      <c r="GX12" s="361"/>
      <c r="GY12" s="361"/>
      <c r="GZ12" s="361"/>
      <c r="HA12" s="361"/>
      <c r="HB12" s="361"/>
      <c r="HC12" s="361"/>
      <c r="HD12" s="361"/>
      <c r="HE12" s="361"/>
      <c r="HF12" s="361"/>
      <c r="HG12" s="361"/>
      <c r="HH12" s="361"/>
      <c r="HI12" s="361"/>
      <c r="HJ12" s="361"/>
      <c r="HK12" s="361"/>
      <c r="HL12" s="361"/>
      <c r="HM12" s="361"/>
      <c r="HN12" s="361"/>
      <c r="HO12" s="361"/>
      <c r="HP12" s="361"/>
      <c r="HQ12" s="361"/>
      <c r="HR12" s="361"/>
      <c r="HS12" s="361"/>
      <c r="HT12" s="361"/>
      <c r="HU12" s="361"/>
      <c r="HV12" s="361"/>
      <c r="HW12" s="361"/>
      <c r="HX12" s="361"/>
      <c r="HY12" s="361"/>
      <c r="HZ12" s="361"/>
      <c r="IA12" s="361"/>
      <c r="IB12" s="361"/>
      <c r="IC12" s="361"/>
      <c r="ID12" s="361"/>
      <c r="IE12" s="361"/>
      <c r="IF12" s="361"/>
      <c r="IG12" s="361"/>
      <c r="IH12" s="361"/>
      <c r="II12" s="361"/>
      <c r="IJ12" s="361"/>
      <c r="IK12" s="361"/>
      <c r="IL12" s="361"/>
      <c r="IM12" s="361"/>
      <c r="IN12" s="361"/>
      <c r="IO12" s="361"/>
      <c r="IP12" s="361"/>
      <c r="IQ12" s="361"/>
      <c r="IR12" s="361"/>
      <c r="IS12" s="361"/>
      <c r="IT12" s="361"/>
      <c r="IU12" s="361"/>
      <c r="IV12" s="361"/>
    </row>
    <row r="13" ht="354.95" customHeight="1" spans="1:26">
      <c r="A13" s="406" t="s">
        <v>162</v>
      </c>
      <c r="B13" s="406"/>
      <c r="C13" s="406"/>
      <c r="D13" s="406"/>
      <c r="E13" s="406"/>
      <c r="F13" s="406"/>
      <c r="G13" s="406"/>
      <c r="H13" s="406"/>
      <c r="I13" s="406"/>
      <c r="J13" s="406"/>
      <c r="K13" s="406"/>
      <c r="L13" s="406"/>
      <c r="M13" s="406"/>
      <c r="N13" s="406"/>
      <c r="O13" s="406"/>
      <c r="P13" s="406"/>
      <c r="Q13" s="406"/>
      <c r="R13" s="406"/>
      <c r="S13" s="406"/>
      <c r="T13" s="406"/>
      <c r="U13" s="406"/>
      <c r="V13" s="406"/>
      <c r="W13" s="406"/>
      <c r="X13" s="406"/>
      <c r="Y13" s="406"/>
      <c r="Z13" s="406"/>
    </row>
  </sheetData>
  <mergeCells count="11">
    <mergeCell ref="A1:B1"/>
    <mergeCell ref="A2:Z2"/>
    <mergeCell ref="Y3:Z3"/>
    <mergeCell ref="B4:J4"/>
    <mergeCell ref="K4:P4"/>
    <mergeCell ref="Q4:U4"/>
    <mergeCell ref="V4:X4"/>
    <mergeCell ref="A13:Z13"/>
    <mergeCell ref="A4:A6"/>
    <mergeCell ref="Y4:Y5"/>
    <mergeCell ref="Z4:Z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R10"/>
  <sheetViews>
    <sheetView zoomScale="70" zoomScaleNormal="70" workbookViewId="0">
      <selection activeCell="S4" sqref="S4"/>
    </sheetView>
  </sheetViews>
  <sheetFormatPr defaultColWidth="9" defaultRowHeight="15.6"/>
  <cols>
    <col min="1" max="1" width="18.5" customWidth="1"/>
    <col min="2" max="2" width="16" customWidth="1"/>
    <col min="3" max="3" width="12.875" customWidth="1"/>
    <col min="4" max="4" width="16.125" customWidth="1"/>
    <col min="5" max="5" width="18.75" customWidth="1"/>
    <col min="6" max="6" width="14.125" customWidth="1"/>
    <col min="7" max="7" width="15.125" customWidth="1"/>
    <col min="8" max="8" width="14.875" customWidth="1"/>
    <col min="9" max="9" width="19.625" customWidth="1"/>
    <col min="10" max="10" width="15.125" customWidth="1"/>
    <col min="11" max="11" width="14.875" customWidth="1"/>
    <col min="12" max="12" width="12.5" customWidth="1"/>
  </cols>
  <sheetData>
    <row r="1" ht="36" customHeight="1" spans="1:1">
      <c r="A1" s="228" t="s">
        <v>163</v>
      </c>
    </row>
    <row r="2" ht="30" customHeight="1" spans="1:18">
      <c r="A2" s="371" t="s">
        <v>164</v>
      </c>
      <c r="B2" s="371"/>
      <c r="C2" s="371"/>
      <c r="D2" s="371"/>
      <c r="E2" s="371"/>
      <c r="F2" s="371"/>
      <c r="G2" s="371"/>
      <c r="H2" s="371"/>
      <c r="I2" s="371"/>
      <c r="J2" s="376"/>
      <c r="K2" s="376"/>
      <c r="L2" s="376"/>
      <c r="M2" s="376"/>
      <c r="N2" s="376"/>
      <c r="O2" s="376"/>
      <c r="P2" s="376"/>
      <c r="Q2" s="376"/>
      <c r="R2" s="376"/>
    </row>
    <row r="3" s="370" customFormat="1" ht="168" customHeight="1" spans="1:11">
      <c r="A3" s="372" t="s">
        <v>165</v>
      </c>
      <c r="B3" s="372" t="s">
        <v>166</v>
      </c>
      <c r="C3" s="372" t="s">
        <v>167</v>
      </c>
      <c r="D3" s="372" t="s">
        <v>168</v>
      </c>
      <c r="E3" s="372" t="s">
        <v>169</v>
      </c>
      <c r="F3" s="373" t="s">
        <v>170</v>
      </c>
      <c r="G3" s="373" t="s">
        <v>171</v>
      </c>
      <c r="H3" s="373" t="s">
        <v>172</v>
      </c>
      <c r="I3" s="377" t="s">
        <v>173</v>
      </c>
      <c r="J3" s="373" t="s">
        <v>174</v>
      </c>
      <c r="K3" s="373" t="s">
        <v>175</v>
      </c>
    </row>
    <row r="4" ht="39.95" customHeight="1" spans="1:11">
      <c r="A4" s="147" t="s">
        <v>22</v>
      </c>
      <c r="B4" s="148">
        <v>27980</v>
      </c>
      <c r="C4" s="148">
        <v>1</v>
      </c>
      <c r="D4" s="148">
        <v>27980</v>
      </c>
      <c r="E4" s="148">
        <v>2800</v>
      </c>
      <c r="F4" s="148">
        <v>86.02</v>
      </c>
      <c r="G4" s="148">
        <v>1</v>
      </c>
      <c r="H4" s="148">
        <f>G4*8/10000</f>
        <v>0.0008</v>
      </c>
      <c r="I4" s="148">
        <v>6</v>
      </c>
      <c r="J4" s="148">
        <v>92.02</v>
      </c>
      <c r="K4" s="148">
        <f>ROUND(J4*0.7,2)</f>
        <v>64.41</v>
      </c>
    </row>
    <row r="5" ht="39.95" customHeight="1" spans="1:11">
      <c r="A5" s="175" t="s">
        <v>176</v>
      </c>
      <c r="B5" s="151">
        <v>27980</v>
      </c>
      <c r="C5" s="151">
        <v>1</v>
      </c>
      <c r="D5" s="151">
        <v>27980</v>
      </c>
      <c r="E5" s="151">
        <v>2800</v>
      </c>
      <c r="F5" s="151">
        <v>86.02</v>
      </c>
      <c r="G5" s="151">
        <v>1</v>
      </c>
      <c r="H5" s="151">
        <f>G5*8/10000</f>
        <v>0.0008</v>
      </c>
      <c r="I5" s="151">
        <v>6</v>
      </c>
      <c r="J5" s="151">
        <v>92.02</v>
      </c>
      <c r="K5" s="151">
        <f>ROUND(J5*0.7,2)</f>
        <v>64.41</v>
      </c>
    </row>
    <row r="6" ht="29.1" customHeight="1" spans="1:9">
      <c r="A6" s="374" t="s">
        <v>177</v>
      </c>
      <c r="B6" s="374"/>
      <c r="C6" s="374"/>
      <c r="D6" s="374"/>
      <c r="E6" s="374"/>
      <c r="F6" s="374"/>
      <c r="G6" s="374"/>
      <c r="H6" s="374"/>
      <c r="I6" s="306"/>
    </row>
    <row r="7" ht="30" customHeight="1" spans="1:9">
      <c r="A7" s="375"/>
      <c r="B7" s="375"/>
      <c r="C7" s="375"/>
      <c r="D7" s="375"/>
      <c r="E7" s="375"/>
      <c r="F7" s="375"/>
      <c r="G7" s="375"/>
      <c r="H7" s="375"/>
      <c r="I7" s="375"/>
    </row>
    <row r="8" ht="3" customHeight="1" spans="1:9">
      <c r="A8" s="375"/>
      <c r="B8" s="375"/>
      <c r="C8" s="375"/>
      <c r="D8" s="375"/>
      <c r="E8" s="375"/>
      <c r="F8" s="375"/>
      <c r="G8" s="375"/>
      <c r="H8" s="375"/>
      <c r="I8" s="375"/>
    </row>
    <row r="9" ht="96" customHeight="1" spans="1:9">
      <c r="A9" s="375"/>
      <c r="B9" s="375"/>
      <c r="C9" s="375"/>
      <c r="D9" s="375"/>
      <c r="E9" s="375"/>
      <c r="F9" s="375"/>
      <c r="G9" s="375"/>
      <c r="H9" s="375"/>
      <c r="I9" s="375"/>
    </row>
    <row r="10" ht="20.1" customHeight="1"/>
  </sheetData>
  <mergeCells count="2">
    <mergeCell ref="A2:I2"/>
    <mergeCell ref="A6:I9"/>
  </mergeCells>
  <printOptions horizontalCentered="1"/>
  <pageMargins left="0.751388888888889" right="0.751388888888889" top="1" bottom="1" header="0.5" footer="0.5"/>
  <pageSetup paperSize="9" scale="69"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D8"/>
  <sheetViews>
    <sheetView workbookViewId="0">
      <selection activeCell="I8" sqref="I8"/>
    </sheetView>
  </sheetViews>
  <sheetFormatPr defaultColWidth="8.75" defaultRowHeight="15.6" outlineLevelRow="7" outlineLevelCol="3"/>
  <cols>
    <col min="1" max="1" width="28.375" customWidth="1"/>
    <col min="2" max="2" width="16.875" customWidth="1"/>
    <col min="3" max="3" width="43.25" customWidth="1"/>
  </cols>
  <sheetData>
    <row r="1" spans="1:3">
      <c r="A1" s="139" t="s">
        <v>178</v>
      </c>
      <c r="B1" s="139"/>
      <c r="C1" s="140"/>
    </row>
    <row r="2" ht="45" customHeight="1" spans="1:3">
      <c r="A2" s="141" t="s">
        <v>179</v>
      </c>
      <c r="B2" s="141"/>
      <c r="C2" s="141"/>
    </row>
    <row r="3" ht="25" customHeight="1" spans="1:4">
      <c r="A3" s="142"/>
      <c r="B3" s="142"/>
      <c r="C3" s="367" t="s">
        <v>3</v>
      </c>
      <c r="D3" s="368"/>
    </row>
    <row r="4" ht="27" customHeight="1" spans="1:3">
      <c r="A4" s="369" t="s">
        <v>4</v>
      </c>
      <c r="B4" s="369" t="s">
        <v>180</v>
      </c>
      <c r="C4" s="369" t="s">
        <v>43</v>
      </c>
    </row>
    <row r="5" ht="27" customHeight="1" spans="1:3">
      <c r="A5" s="146" t="s">
        <v>22</v>
      </c>
      <c r="B5" s="147"/>
      <c r="C5" s="65"/>
    </row>
    <row r="6" ht="52.2" spans="1:3">
      <c r="A6" s="174" t="s">
        <v>31</v>
      </c>
      <c r="B6" s="175" t="s">
        <v>181</v>
      </c>
      <c r="C6" s="74">
        <v>10</v>
      </c>
    </row>
    <row r="7" ht="17.4" spans="1:3">
      <c r="A7" s="152" t="s">
        <v>5</v>
      </c>
      <c r="B7" s="153"/>
      <c r="C7" s="74">
        <v>10</v>
      </c>
    </row>
    <row r="8" ht="97" customHeight="1" spans="1:3">
      <c r="A8" s="155" t="s">
        <v>182</v>
      </c>
      <c r="B8" s="155"/>
      <c r="C8" s="155"/>
    </row>
  </sheetData>
  <mergeCells count="4">
    <mergeCell ref="A1:B1"/>
    <mergeCell ref="A2:C2"/>
    <mergeCell ref="A7:B7"/>
    <mergeCell ref="A8:C8"/>
  </mergeCells>
  <dataValidations count="1">
    <dataValidation allowBlank="1" showInputMessage="1" showErrorMessage="1" sqref="B5 C5 A6 B6 C6"/>
  </dataValidation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8"/>
  <dimension ref="A1:IV14"/>
  <sheetViews>
    <sheetView zoomScale="40" zoomScaleNormal="40" zoomScaleSheetLayoutView="70" workbookViewId="0">
      <selection activeCell="A2" sqref="A2:Z2"/>
    </sheetView>
  </sheetViews>
  <sheetFormatPr defaultColWidth="9" defaultRowHeight="15"/>
  <cols>
    <col min="1" max="1" width="20.25" style="312" customWidth="1"/>
    <col min="2" max="2" width="13.125" style="312" customWidth="1"/>
    <col min="3" max="6" width="10.625" style="312" customWidth="1"/>
    <col min="7" max="7" width="13.75" style="312" customWidth="1"/>
    <col min="8" max="8" width="15.625" style="312" customWidth="1"/>
    <col min="9" max="9" width="14.75" style="312" customWidth="1"/>
    <col min="10" max="10" width="13.75" style="312" customWidth="1"/>
    <col min="11" max="11" width="14" style="313" customWidth="1"/>
    <col min="12" max="12" width="26.5" style="313" customWidth="1"/>
    <col min="13" max="13" width="9.125" style="312" customWidth="1"/>
    <col min="14" max="14" width="13.75" style="312" customWidth="1"/>
    <col min="15" max="15" width="10" style="314" customWidth="1"/>
    <col min="16" max="16" width="17.5" style="314" customWidth="1"/>
    <col min="17" max="17" width="12.75" style="313" customWidth="1"/>
    <col min="18" max="18" width="13.375" style="313" customWidth="1"/>
    <col min="19" max="19" width="12.875" style="312" customWidth="1"/>
    <col min="20" max="20" width="13.75" style="312" customWidth="1"/>
    <col min="21" max="21" width="13.125" style="312" customWidth="1"/>
    <col min="22" max="22" width="12.5" style="312" customWidth="1"/>
    <col min="23" max="23" width="12.125" style="312" customWidth="1"/>
    <col min="24" max="24" width="13.75" style="312" customWidth="1"/>
    <col min="25" max="25" width="15.375" style="313" customWidth="1"/>
    <col min="26" max="26" width="13.75" style="312" customWidth="1"/>
    <col min="27" max="27" width="17.375" style="312"/>
    <col min="28" max="16384" width="9" style="312"/>
  </cols>
  <sheetData>
    <row r="1" ht="30" customHeight="1" spans="1:2">
      <c r="A1" s="315" t="s">
        <v>183</v>
      </c>
      <c r="B1" s="315"/>
    </row>
    <row r="2" s="307" customFormat="1" ht="42" customHeight="1" spans="1:26">
      <c r="A2" s="316" t="s">
        <v>184</v>
      </c>
      <c r="B2" s="316"/>
      <c r="C2" s="316"/>
      <c r="D2" s="316"/>
      <c r="E2" s="316"/>
      <c r="F2" s="316"/>
      <c r="G2" s="316"/>
      <c r="H2" s="316"/>
      <c r="I2" s="316"/>
      <c r="J2" s="316"/>
      <c r="K2" s="316"/>
      <c r="L2" s="316"/>
      <c r="M2" s="316"/>
      <c r="N2" s="316"/>
      <c r="O2" s="316"/>
      <c r="P2" s="316"/>
      <c r="Q2" s="349"/>
      <c r="R2" s="316"/>
      <c r="S2" s="316"/>
      <c r="T2" s="316"/>
      <c r="U2" s="316"/>
      <c r="V2" s="316"/>
      <c r="W2" s="316"/>
      <c r="X2" s="316"/>
      <c r="Y2" s="349"/>
      <c r="Z2" s="316"/>
    </row>
    <row r="3" s="308" customFormat="1" ht="30" customHeight="1" spans="1:26">
      <c r="A3" s="317"/>
      <c r="B3" s="317"/>
      <c r="C3" s="317"/>
      <c r="D3" s="317"/>
      <c r="E3" s="317"/>
      <c r="F3" s="317"/>
      <c r="G3" s="317"/>
      <c r="H3" s="317"/>
      <c r="I3" s="317"/>
      <c r="J3" s="317"/>
      <c r="K3" s="317"/>
      <c r="L3" s="317"/>
      <c r="M3" s="317"/>
      <c r="N3" s="317"/>
      <c r="O3" s="317"/>
      <c r="P3" s="317"/>
      <c r="Q3" s="350"/>
      <c r="R3" s="317"/>
      <c r="S3" s="317"/>
      <c r="T3" s="317"/>
      <c r="U3" s="317"/>
      <c r="V3" s="317"/>
      <c r="W3" s="317"/>
      <c r="X3" s="317"/>
      <c r="Y3" s="359" t="s">
        <v>3</v>
      </c>
      <c r="Z3" s="359"/>
    </row>
    <row r="4" s="309" customFormat="1" ht="36.95" customHeight="1" spans="1:256">
      <c r="A4" s="318" t="s">
        <v>109</v>
      </c>
      <c r="B4" s="319" t="s">
        <v>110</v>
      </c>
      <c r="C4" s="320"/>
      <c r="D4" s="320"/>
      <c r="E4" s="320"/>
      <c r="F4" s="320"/>
      <c r="G4" s="320"/>
      <c r="H4" s="320"/>
      <c r="I4" s="320"/>
      <c r="J4" s="338"/>
      <c r="K4" s="339" t="s">
        <v>111</v>
      </c>
      <c r="L4" s="340"/>
      <c r="M4" s="339"/>
      <c r="N4" s="340"/>
      <c r="O4" s="339"/>
      <c r="P4" s="339"/>
      <c r="Q4" s="351" t="s">
        <v>112</v>
      </c>
      <c r="R4" s="351"/>
      <c r="S4" s="352"/>
      <c r="T4" s="352"/>
      <c r="U4" s="352"/>
      <c r="V4" s="352" t="s">
        <v>113</v>
      </c>
      <c r="W4" s="352"/>
      <c r="X4" s="352"/>
      <c r="Y4" s="341" t="s">
        <v>114</v>
      </c>
      <c r="Z4" s="360" t="s">
        <v>115</v>
      </c>
      <c r="AA4" s="361"/>
      <c r="AB4" s="361"/>
      <c r="AC4" s="361"/>
      <c r="AD4" s="361"/>
      <c r="AE4" s="361"/>
      <c r="AF4" s="361"/>
      <c r="AG4" s="361"/>
      <c r="AH4" s="361"/>
      <c r="AI4" s="361"/>
      <c r="AJ4" s="361"/>
      <c r="AK4" s="361"/>
      <c r="AL4" s="361"/>
      <c r="AM4" s="361"/>
      <c r="AN4" s="361"/>
      <c r="AO4" s="361"/>
      <c r="AP4" s="361"/>
      <c r="AQ4" s="361"/>
      <c r="AR4" s="361"/>
      <c r="AS4" s="361"/>
      <c r="AT4" s="361"/>
      <c r="AU4" s="361"/>
      <c r="AV4" s="361"/>
      <c r="AW4" s="361"/>
      <c r="AX4" s="361"/>
      <c r="AY4" s="361"/>
      <c r="AZ4" s="361"/>
      <c r="BA4" s="361"/>
      <c r="BB4" s="361"/>
      <c r="BC4" s="361"/>
      <c r="BD4" s="361"/>
      <c r="BE4" s="361"/>
      <c r="BF4" s="361"/>
      <c r="BG4" s="361"/>
      <c r="BH4" s="361"/>
      <c r="BI4" s="361"/>
      <c r="BJ4" s="361"/>
      <c r="BK4" s="361"/>
      <c r="BL4" s="361"/>
      <c r="BM4" s="361"/>
      <c r="BN4" s="361"/>
      <c r="BO4" s="361"/>
      <c r="BP4" s="361"/>
      <c r="BQ4" s="361"/>
      <c r="BR4" s="361"/>
      <c r="BS4" s="361"/>
      <c r="BT4" s="361"/>
      <c r="BU4" s="361"/>
      <c r="BV4" s="361"/>
      <c r="BW4" s="361"/>
      <c r="BX4" s="361"/>
      <c r="BY4" s="361"/>
      <c r="BZ4" s="361"/>
      <c r="CA4" s="361"/>
      <c r="CB4" s="361"/>
      <c r="CC4" s="361"/>
      <c r="CD4" s="361"/>
      <c r="CE4" s="361"/>
      <c r="CF4" s="361"/>
      <c r="CG4" s="361"/>
      <c r="CH4" s="361"/>
      <c r="CI4" s="361"/>
      <c r="CJ4" s="361"/>
      <c r="CK4" s="361"/>
      <c r="CL4" s="361"/>
      <c r="CM4" s="361"/>
      <c r="CN4" s="361"/>
      <c r="CO4" s="361"/>
      <c r="CP4" s="361"/>
      <c r="CQ4" s="361"/>
      <c r="CR4" s="361"/>
      <c r="CS4" s="361"/>
      <c r="CT4" s="361"/>
      <c r="CU4" s="361"/>
      <c r="CV4" s="361"/>
      <c r="CW4" s="361"/>
      <c r="CX4" s="361"/>
      <c r="CY4" s="361"/>
      <c r="CZ4" s="361"/>
      <c r="DA4" s="361"/>
      <c r="DB4" s="361"/>
      <c r="DC4" s="361"/>
      <c r="DD4" s="361"/>
      <c r="DE4" s="361"/>
      <c r="DF4" s="361"/>
      <c r="DG4" s="361"/>
      <c r="DH4" s="361"/>
      <c r="DI4" s="361"/>
      <c r="DJ4" s="361"/>
      <c r="DK4" s="361"/>
      <c r="DL4" s="361"/>
      <c r="DM4" s="361"/>
      <c r="DN4" s="361"/>
      <c r="DO4" s="361"/>
      <c r="DP4" s="361"/>
      <c r="DQ4" s="361"/>
      <c r="DR4" s="361"/>
      <c r="DS4" s="361"/>
      <c r="DT4" s="361"/>
      <c r="DU4" s="361"/>
      <c r="DV4" s="361"/>
      <c r="DW4" s="361"/>
      <c r="DX4" s="361"/>
      <c r="DY4" s="361"/>
      <c r="DZ4" s="361"/>
      <c r="EA4" s="361"/>
      <c r="EB4" s="361"/>
      <c r="EC4" s="361"/>
      <c r="ED4" s="361"/>
      <c r="EE4" s="361"/>
      <c r="EF4" s="361"/>
      <c r="EG4" s="361"/>
      <c r="EH4" s="361"/>
      <c r="EI4" s="361"/>
      <c r="EJ4" s="361"/>
      <c r="EK4" s="361"/>
      <c r="EL4" s="361"/>
      <c r="EM4" s="361"/>
      <c r="EN4" s="361"/>
      <c r="EO4" s="361"/>
      <c r="EP4" s="361"/>
      <c r="EQ4" s="361"/>
      <c r="ER4" s="361"/>
      <c r="ES4" s="361"/>
      <c r="ET4" s="361"/>
      <c r="EU4" s="361"/>
      <c r="EV4" s="361"/>
      <c r="EW4" s="361"/>
      <c r="EX4" s="361"/>
      <c r="EY4" s="361"/>
      <c r="EZ4" s="361"/>
      <c r="FA4" s="361"/>
      <c r="FB4" s="361"/>
      <c r="FC4" s="361"/>
      <c r="FD4" s="361"/>
      <c r="FE4" s="361"/>
      <c r="FF4" s="361"/>
      <c r="FG4" s="361"/>
      <c r="FH4" s="361"/>
      <c r="FI4" s="361"/>
      <c r="FJ4" s="361"/>
      <c r="FK4" s="361"/>
      <c r="FL4" s="361"/>
      <c r="FM4" s="361"/>
      <c r="FN4" s="361"/>
      <c r="FO4" s="361"/>
      <c r="FP4" s="361"/>
      <c r="FQ4" s="361"/>
      <c r="FR4" s="361"/>
      <c r="FS4" s="361"/>
      <c r="FT4" s="361"/>
      <c r="FU4" s="361"/>
      <c r="FV4" s="361"/>
      <c r="FW4" s="361"/>
      <c r="FX4" s="361"/>
      <c r="FY4" s="361"/>
      <c r="FZ4" s="361"/>
      <c r="GA4" s="361"/>
      <c r="GB4" s="361"/>
      <c r="GC4" s="361"/>
      <c r="GD4" s="361"/>
      <c r="GE4" s="361"/>
      <c r="GF4" s="361"/>
      <c r="GG4" s="361"/>
      <c r="GH4" s="361"/>
      <c r="GI4" s="361"/>
      <c r="GJ4" s="361"/>
      <c r="GK4" s="361"/>
      <c r="GL4" s="361"/>
      <c r="GM4" s="361"/>
      <c r="GN4" s="361"/>
      <c r="GO4" s="361"/>
      <c r="GP4" s="361"/>
      <c r="GQ4" s="361"/>
      <c r="GR4" s="361"/>
      <c r="GS4" s="361"/>
      <c r="GT4" s="361"/>
      <c r="GU4" s="361"/>
      <c r="GV4" s="361"/>
      <c r="GW4" s="361"/>
      <c r="GX4" s="361"/>
      <c r="GY4" s="361"/>
      <c r="GZ4" s="361"/>
      <c r="HA4" s="361"/>
      <c r="HB4" s="361"/>
      <c r="HC4" s="361"/>
      <c r="HD4" s="361"/>
      <c r="HE4" s="361"/>
      <c r="HF4" s="361"/>
      <c r="HG4" s="361"/>
      <c r="HH4" s="361"/>
      <c r="HI4" s="361"/>
      <c r="HJ4" s="361"/>
      <c r="HK4" s="361"/>
      <c r="HL4" s="361"/>
      <c r="HM4" s="361"/>
      <c r="HN4" s="361"/>
      <c r="HO4" s="361"/>
      <c r="HP4" s="361"/>
      <c r="HQ4" s="361"/>
      <c r="HR4" s="361"/>
      <c r="HS4" s="361"/>
      <c r="HT4" s="361"/>
      <c r="HU4" s="361"/>
      <c r="HV4" s="361"/>
      <c r="HW4" s="361"/>
      <c r="HX4" s="361"/>
      <c r="HY4" s="361"/>
      <c r="HZ4" s="361"/>
      <c r="IA4" s="361"/>
      <c r="IB4" s="361"/>
      <c r="IC4" s="361"/>
      <c r="ID4" s="361"/>
      <c r="IE4" s="361"/>
      <c r="IF4" s="361"/>
      <c r="IG4" s="361"/>
      <c r="IH4" s="361"/>
      <c r="II4" s="361"/>
      <c r="IJ4" s="361"/>
      <c r="IK4" s="361"/>
      <c r="IL4" s="361"/>
      <c r="IM4" s="361"/>
      <c r="IN4" s="361"/>
      <c r="IO4" s="361"/>
      <c r="IP4" s="361"/>
      <c r="IQ4" s="361"/>
      <c r="IR4" s="361"/>
      <c r="IS4" s="361"/>
      <c r="IT4" s="361"/>
      <c r="IU4" s="361"/>
      <c r="IV4" s="361"/>
    </row>
    <row r="5" s="309" customFormat="1" ht="200.4" spans="1:256">
      <c r="A5" s="321"/>
      <c r="B5" s="322" t="s">
        <v>185</v>
      </c>
      <c r="C5" s="323" t="s">
        <v>186</v>
      </c>
      <c r="D5" s="323" t="s">
        <v>187</v>
      </c>
      <c r="E5" s="323" t="s">
        <v>188</v>
      </c>
      <c r="F5" s="324" t="s">
        <v>189</v>
      </c>
      <c r="G5" s="325" t="s">
        <v>190</v>
      </c>
      <c r="H5" s="325" t="s">
        <v>191</v>
      </c>
      <c r="I5" s="325" t="s">
        <v>192</v>
      </c>
      <c r="J5" s="324" t="s">
        <v>193</v>
      </c>
      <c r="K5" s="324" t="s">
        <v>125</v>
      </c>
      <c r="L5" s="341" t="s">
        <v>126</v>
      </c>
      <c r="M5" s="323" t="s">
        <v>194</v>
      </c>
      <c r="N5" s="341" t="s">
        <v>128</v>
      </c>
      <c r="O5" s="324" t="s">
        <v>129</v>
      </c>
      <c r="P5" s="324" t="s">
        <v>130</v>
      </c>
      <c r="Q5" s="353" t="s">
        <v>131</v>
      </c>
      <c r="R5" s="353" t="s">
        <v>132</v>
      </c>
      <c r="S5" s="354" t="s">
        <v>133</v>
      </c>
      <c r="T5" s="354" t="s">
        <v>134</v>
      </c>
      <c r="U5" s="354" t="s">
        <v>135</v>
      </c>
      <c r="V5" s="354" t="s">
        <v>136</v>
      </c>
      <c r="W5" s="354" t="s">
        <v>137</v>
      </c>
      <c r="X5" s="354" t="s">
        <v>138</v>
      </c>
      <c r="Y5" s="341"/>
      <c r="Z5" s="362"/>
      <c r="AA5" s="361"/>
      <c r="AB5" s="361"/>
      <c r="AC5" s="361"/>
      <c r="AD5" s="361"/>
      <c r="AE5" s="361"/>
      <c r="AF5" s="361"/>
      <c r="AG5" s="361"/>
      <c r="AH5" s="361"/>
      <c r="AI5" s="361"/>
      <c r="AJ5" s="361"/>
      <c r="AK5" s="361"/>
      <c r="AL5" s="361"/>
      <c r="AM5" s="361"/>
      <c r="AN5" s="361"/>
      <c r="AO5" s="361"/>
      <c r="AP5" s="361"/>
      <c r="AQ5" s="361"/>
      <c r="AR5" s="361"/>
      <c r="AS5" s="361"/>
      <c r="AT5" s="361"/>
      <c r="AU5" s="361"/>
      <c r="AV5" s="361"/>
      <c r="AW5" s="361"/>
      <c r="AX5" s="361"/>
      <c r="AY5" s="361"/>
      <c r="AZ5" s="361"/>
      <c r="BA5" s="361"/>
      <c r="BB5" s="361"/>
      <c r="BC5" s="361"/>
      <c r="BD5" s="361"/>
      <c r="BE5" s="361"/>
      <c r="BF5" s="361"/>
      <c r="BG5" s="361"/>
      <c r="BH5" s="361"/>
      <c r="BI5" s="361"/>
      <c r="BJ5" s="361"/>
      <c r="BK5" s="361"/>
      <c r="BL5" s="361"/>
      <c r="BM5" s="361"/>
      <c r="BN5" s="361"/>
      <c r="BO5" s="361"/>
      <c r="BP5" s="361"/>
      <c r="BQ5" s="361"/>
      <c r="BR5" s="361"/>
      <c r="BS5" s="361"/>
      <c r="BT5" s="361"/>
      <c r="BU5" s="361"/>
      <c r="BV5" s="361"/>
      <c r="BW5" s="361"/>
      <c r="BX5" s="361"/>
      <c r="BY5" s="361"/>
      <c r="BZ5" s="361"/>
      <c r="CA5" s="361"/>
      <c r="CB5" s="361"/>
      <c r="CC5" s="361"/>
      <c r="CD5" s="361"/>
      <c r="CE5" s="361"/>
      <c r="CF5" s="361"/>
      <c r="CG5" s="361"/>
      <c r="CH5" s="361"/>
      <c r="CI5" s="361"/>
      <c r="CJ5" s="361"/>
      <c r="CK5" s="361"/>
      <c r="CL5" s="361"/>
      <c r="CM5" s="361"/>
      <c r="CN5" s="361"/>
      <c r="CO5" s="361"/>
      <c r="CP5" s="361"/>
      <c r="CQ5" s="361"/>
      <c r="CR5" s="361"/>
      <c r="CS5" s="361"/>
      <c r="CT5" s="361"/>
      <c r="CU5" s="361"/>
      <c r="CV5" s="361"/>
      <c r="CW5" s="361"/>
      <c r="CX5" s="361"/>
      <c r="CY5" s="361"/>
      <c r="CZ5" s="361"/>
      <c r="DA5" s="361"/>
      <c r="DB5" s="361"/>
      <c r="DC5" s="361"/>
      <c r="DD5" s="361"/>
      <c r="DE5" s="361"/>
      <c r="DF5" s="361"/>
      <c r="DG5" s="361"/>
      <c r="DH5" s="361"/>
      <c r="DI5" s="361"/>
      <c r="DJ5" s="361"/>
      <c r="DK5" s="361"/>
      <c r="DL5" s="361"/>
      <c r="DM5" s="361"/>
      <c r="DN5" s="361"/>
      <c r="DO5" s="361"/>
      <c r="DP5" s="361"/>
      <c r="DQ5" s="361"/>
      <c r="DR5" s="361"/>
      <c r="DS5" s="361"/>
      <c r="DT5" s="361"/>
      <c r="DU5" s="361"/>
      <c r="DV5" s="361"/>
      <c r="DW5" s="361"/>
      <c r="DX5" s="361"/>
      <c r="DY5" s="361"/>
      <c r="DZ5" s="361"/>
      <c r="EA5" s="361"/>
      <c r="EB5" s="361"/>
      <c r="EC5" s="361"/>
      <c r="ED5" s="361"/>
      <c r="EE5" s="361"/>
      <c r="EF5" s="361"/>
      <c r="EG5" s="361"/>
      <c r="EH5" s="361"/>
      <c r="EI5" s="361"/>
      <c r="EJ5" s="361"/>
      <c r="EK5" s="361"/>
      <c r="EL5" s="361"/>
      <c r="EM5" s="361"/>
      <c r="EN5" s="361"/>
      <c r="EO5" s="361"/>
      <c r="EP5" s="361"/>
      <c r="EQ5" s="361"/>
      <c r="ER5" s="361"/>
      <c r="ES5" s="361"/>
      <c r="ET5" s="361"/>
      <c r="EU5" s="361"/>
      <c r="EV5" s="361"/>
      <c r="EW5" s="361"/>
      <c r="EX5" s="361"/>
      <c r="EY5" s="361"/>
      <c r="EZ5" s="361"/>
      <c r="FA5" s="361"/>
      <c r="FB5" s="361"/>
      <c r="FC5" s="361"/>
      <c r="FD5" s="361"/>
      <c r="FE5" s="361"/>
      <c r="FF5" s="361"/>
      <c r="FG5" s="361"/>
      <c r="FH5" s="361"/>
      <c r="FI5" s="361"/>
      <c r="FJ5" s="361"/>
      <c r="FK5" s="361"/>
      <c r="FL5" s="361"/>
      <c r="FM5" s="361"/>
      <c r="FN5" s="361"/>
      <c r="FO5" s="361"/>
      <c r="FP5" s="361"/>
      <c r="FQ5" s="361"/>
      <c r="FR5" s="361"/>
      <c r="FS5" s="361"/>
      <c r="FT5" s="361"/>
      <c r="FU5" s="361"/>
      <c r="FV5" s="361"/>
      <c r="FW5" s="361"/>
      <c r="FX5" s="361"/>
      <c r="FY5" s="361"/>
      <c r="FZ5" s="361"/>
      <c r="GA5" s="361"/>
      <c r="GB5" s="361"/>
      <c r="GC5" s="361"/>
      <c r="GD5" s="361"/>
      <c r="GE5" s="361"/>
      <c r="GF5" s="361"/>
      <c r="GG5" s="361"/>
      <c r="GH5" s="361"/>
      <c r="GI5" s="361"/>
      <c r="GJ5" s="361"/>
      <c r="GK5" s="361"/>
      <c r="GL5" s="361"/>
      <c r="GM5" s="361"/>
      <c r="GN5" s="361"/>
      <c r="GO5" s="361"/>
      <c r="GP5" s="361"/>
      <c r="GQ5" s="361"/>
      <c r="GR5" s="361"/>
      <c r="GS5" s="361"/>
      <c r="GT5" s="361"/>
      <c r="GU5" s="361"/>
      <c r="GV5" s="361"/>
      <c r="GW5" s="361"/>
      <c r="GX5" s="361"/>
      <c r="GY5" s="361"/>
      <c r="GZ5" s="361"/>
      <c r="HA5" s="361"/>
      <c r="HB5" s="361"/>
      <c r="HC5" s="361"/>
      <c r="HD5" s="361"/>
      <c r="HE5" s="361"/>
      <c r="HF5" s="361"/>
      <c r="HG5" s="361"/>
      <c r="HH5" s="361"/>
      <c r="HI5" s="361"/>
      <c r="HJ5" s="361"/>
      <c r="HK5" s="361"/>
      <c r="HL5" s="361"/>
      <c r="HM5" s="361"/>
      <c r="HN5" s="361"/>
      <c r="HO5" s="361"/>
      <c r="HP5" s="361"/>
      <c r="HQ5" s="361"/>
      <c r="HR5" s="361"/>
      <c r="HS5" s="361"/>
      <c r="HT5" s="361"/>
      <c r="HU5" s="361"/>
      <c r="HV5" s="361"/>
      <c r="HW5" s="361"/>
      <c r="HX5" s="361"/>
      <c r="HY5" s="361"/>
      <c r="HZ5" s="361"/>
      <c r="IA5" s="361"/>
      <c r="IB5" s="361"/>
      <c r="IC5" s="361"/>
      <c r="ID5" s="361"/>
      <c r="IE5" s="361"/>
      <c r="IF5" s="361"/>
      <c r="IG5" s="361"/>
      <c r="IH5" s="361"/>
      <c r="II5" s="361"/>
      <c r="IJ5" s="361"/>
      <c r="IK5" s="361"/>
      <c r="IL5" s="361"/>
      <c r="IM5" s="361"/>
      <c r="IN5" s="361"/>
      <c r="IO5" s="361"/>
      <c r="IP5" s="361"/>
      <c r="IQ5" s="361"/>
      <c r="IR5" s="361"/>
      <c r="IS5" s="361"/>
      <c r="IT5" s="361"/>
      <c r="IU5" s="361"/>
      <c r="IV5" s="361"/>
    </row>
    <row r="6" s="310" customFormat="1" ht="306" customHeight="1" spans="1:256">
      <c r="A6" s="326"/>
      <c r="B6" s="327" t="s">
        <v>195</v>
      </c>
      <c r="C6" s="328" t="s">
        <v>140</v>
      </c>
      <c r="D6" s="328" t="s">
        <v>141</v>
      </c>
      <c r="E6" s="328" t="s">
        <v>142</v>
      </c>
      <c r="F6" s="328" t="s">
        <v>143</v>
      </c>
      <c r="G6" s="329" t="s">
        <v>196</v>
      </c>
      <c r="H6" s="330" t="s">
        <v>197</v>
      </c>
      <c r="I6" s="329" t="s">
        <v>198</v>
      </c>
      <c r="J6" s="329" t="s">
        <v>199</v>
      </c>
      <c r="K6" s="342" t="s">
        <v>200</v>
      </c>
      <c r="L6" s="343" t="s">
        <v>201</v>
      </c>
      <c r="M6" s="344" t="s">
        <v>150</v>
      </c>
      <c r="N6" s="343" t="s">
        <v>202</v>
      </c>
      <c r="O6" s="344" t="s">
        <v>150</v>
      </c>
      <c r="P6" s="345" t="s">
        <v>203</v>
      </c>
      <c r="Q6" s="355" t="s">
        <v>153</v>
      </c>
      <c r="R6" s="343" t="s">
        <v>204</v>
      </c>
      <c r="S6" s="356" t="s">
        <v>205</v>
      </c>
      <c r="T6" s="356" t="s">
        <v>206</v>
      </c>
      <c r="U6" s="342" t="s">
        <v>207</v>
      </c>
      <c r="V6" s="342" t="s">
        <v>208</v>
      </c>
      <c r="W6" s="342" t="s">
        <v>209</v>
      </c>
      <c r="X6" s="357" t="s">
        <v>210</v>
      </c>
      <c r="Y6" s="363" t="s">
        <v>211</v>
      </c>
      <c r="Z6" s="364"/>
      <c r="AA6" s="365"/>
      <c r="AB6" s="365"/>
      <c r="AC6" s="365"/>
      <c r="AD6" s="365"/>
      <c r="AE6" s="365"/>
      <c r="AF6" s="365"/>
      <c r="AG6" s="365"/>
      <c r="AH6" s="365"/>
      <c r="AI6" s="365"/>
      <c r="AJ6" s="365"/>
      <c r="AK6" s="365"/>
      <c r="AL6" s="365"/>
      <c r="AM6" s="365"/>
      <c r="AN6" s="365"/>
      <c r="AO6" s="365"/>
      <c r="AP6" s="365"/>
      <c r="AQ6" s="365"/>
      <c r="AR6" s="365"/>
      <c r="AS6" s="365"/>
      <c r="AT6" s="365"/>
      <c r="AU6" s="365"/>
      <c r="AV6" s="365"/>
      <c r="AW6" s="365"/>
      <c r="AX6" s="365"/>
      <c r="AY6" s="365"/>
      <c r="AZ6" s="365"/>
      <c r="BA6" s="365"/>
      <c r="BB6" s="365"/>
      <c r="BC6" s="365"/>
      <c r="BD6" s="365"/>
      <c r="BE6" s="365"/>
      <c r="BF6" s="365"/>
      <c r="BG6" s="365"/>
      <c r="BH6" s="365"/>
      <c r="BI6" s="365"/>
      <c r="BJ6" s="365"/>
      <c r="BK6" s="365"/>
      <c r="BL6" s="365"/>
      <c r="BM6" s="365"/>
      <c r="BN6" s="365"/>
      <c r="BO6" s="365"/>
      <c r="BP6" s="365"/>
      <c r="BQ6" s="365"/>
      <c r="BR6" s="365"/>
      <c r="BS6" s="365"/>
      <c r="BT6" s="365"/>
      <c r="BU6" s="365"/>
      <c r="BV6" s="365"/>
      <c r="BW6" s="365"/>
      <c r="BX6" s="365"/>
      <c r="BY6" s="365"/>
      <c r="BZ6" s="365"/>
      <c r="CA6" s="365"/>
      <c r="CB6" s="365"/>
      <c r="CC6" s="365"/>
      <c r="CD6" s="365"/>
      <c r="CE6" s="365"/>
      <c r="CF6" s="365"/>
      <c r="CG6" s="365"/>
      <c r="CH6" s="365"/>
      <c r="CI6" s="365"/>
      <c r="CJ6" s="365"/>
      <c r="CK6" s="365"/>
      <c r="CL6" s="365"/>
      <c r="CM6" s="365"/>
      <c r="CN6" s="365"/>
      <c r="CO6" s="365"/>
      <c r="CP6" s="365"/>
      <c r="CQ6" s="365"/>
      <c r="CR6" s="365"/>
      <c r="CS6" s="365"/>
      <c r="CT6" s="365"/>
      <c r="CU6" s="365"/>
      <c r="CV6" s="365"/>
      <c r="CW6" s="365"/>
      <c r="CX6" s="365"/>
      <c r="CY6" s="365"/>
      <c r="CZ6" s="365"/>
      <c r="DA6" s="365"/>
      <c r="DB6" s="365"/>
      <c r="DC6" s="365"/>
      <c r="DD6" s="365"/>
      <c r="DE6" s="365"/>
      <c r="DF6" s="365"/>
      <c r="DG6" s="365"/>
      <c r="DH6" s="365"/>
      <c r="DI6" s="365"/>
      <c r="DJ6" s="365"/>
      <c r="DK6" s="365"/>
      <c r="DL6" s="365"/>
      <c r="DM6" s="365"/>
      <c r="DN6" s="365"/>
      <c r="DO6" s="365"/>
      <c r="DP6" s="365"/>
      <c r="DQ6" s="365"/>
      <c r="DR6" s="365"/>
      <c r="DS6" s="365"/>
      <c r="DT6" s="365"/>
      <c r="DU6" s="365"/>
      <c r="DV6" s="365"/>
      <c r="DW6" s="365"/>
      <c r="DX6" s="365"/>
      <c r="DY6" s="365"/>
      <c r="DZ6" s="365"/>
      <c r="EA6" s="365"/>
      <c r="EB6" s="365"/>
      <c r="EC6" s="365"/>
      <c r="ED6" s="365"/>
      <c r="EE6" s="365"/>
      <c r="EF6" s="365"/>
      <c r="EG6" s="365"/>
      <c r="EH6" s="365"/>
      <c r="EI6" s="365"/>
      <c r="EJ6" s="365"/>
      <c r="EK6" s="365"/>
      <c r="EL6" s="365"/>
      <c r="EM6" s="365"/>
      <c r="EN6" s="365"/>
      <c r="EO6" s="365"/>
      <c r="EP6" s="365"/>
      <c r="EQ6" s="365"/>
      <c r="ER6" s="365"/>
      <c r="ES6" s="365"/>
      <c r="ET6" s="365"/>
      <c r="EU6" s="365"/>
      <c r="EV6" s="365"/>
      <c r="EW6" s="365"/>
      <c r="EX6" s="365"/>
      <c r="EY6" s="365"/>
      <c r="EZ6" s="365"/>
      <c r="FA6" s="365"/>
      <c r="FB6" s="365"/>
      <c r="FC6" s="365"/>
      <c r="FD6" s="365"/>
      <c r="FE6" s="365"/>
      <c r="FF6" s="365"/>
      <c r="FG6" s="365"/>
      <c r="FH6" s="365"/>
      <c r="FI6" s="365"/>
      <c r="FJ6" s="365"/>
      <c r="FK6" s="365"/>
      <c r="FL6" s="365"/>
      <c r="FM6" s="365"/>
      <c r="FN6" s="365"/>
      <c r="FO6" s="365"/>
      <c r="FP6" s="365"/>
      <c r="FQ6" s="365"/>
      <c r="FR6" s="365"/>
      <c r="FS6" s="365"/>
      <c r="FT6" s="365"/>
      <c r="FU6" s="365"/>
      <c r="FV6" s="365"/>
      <c r="FW6" s="365"/>
      <c r="FX6" s="365"/>
      <c r="FY6" s="365"/>
      <c r="FZ6" s="365"/>
      <c r="GA6" s="365"/>
      <c r="GB6" s="365"/>
      <c r="GC6" s="365"/>
      <c r="GD6" s="365"/>
      <c r="GE6" s="365"/>
      <c r="GF6" s="365"/>
      <c r="GG6" s="365"/>
      <c r="GH6" s="365"/>
      <c r="GI6" s="365"/>
      <c r="GJ6" s="365"/>
      <c r="GK6" s="365"/>
      <c r="GL6" s="365"/>
      <c r="GM6" s="365"/>
      <c r="GN6" s="365"/>
      <c r="GO6" s="365"/>
      <c r="GP6" s="365"/>
      <c r="GQ6" s="365"/>
      <c r="GR6" s="365"/>
      <c r="GS6" s="365"/>
      <c r="GT6" s="365"/>
      <c r="GU6" s="365"/>
      <c r="GV6" s="365"/>
      <c r="GW6" s="365"/>
      <c r="GX6" s="365"/>
      <c r="GY6" s="365"/>
      <c r="GZ6" s="365"/>
      <c r="HA6" s="365"/>
      <c r="HB6" s="365"/>
      <c r="HC6" s="365"/>
      <c r="HD6" s="365"/>
      <c r="HE6" s="365"/>
      <c r="HF6" s="365"/>
      <c r="HG6" s="365"/>
      <c r="HH6" s="365"/>
      <c r="HI6" s="365"/>
      <c r="HJ6" s="365"/>
      <c r="HK6" s="365"/>
      <c r="HL6" s="365"/>
      <c r="HM6" s="365"/>
      <c r="HN6" s="365"/>
      <c r="HO6" s="365"/>
      <c r="HP6" s="365"/>
      <c r="HQ6" s="365"/>
      <c r="HR6" s="365"/>
      <c r="HS6" s="365"/>
      <c r="HT6" s="365"/>
      <c r="HU6" s="365"/>
      <c r="HV6" s="365"/>
      <c r="HW6" s="365"/>
      <c r="HX6" s="365"/>
      <c r="HY6" s="365"/>
      <c r="HZ6" s="365"/>
      <c r="IA6" s="365"/>
      <c r="IB6" s="365"/>
      <c r="IC6" s="365"/>
      <c r="ID6" s="365"/>
      <c r="IE6" s="365"/>
      <c r="IF6" s="365"/>
      <c r="IG6" s="365"/>
      <c r="IH6" s="365"/>
      <c r="II6" s="365"/>
      <c r="IJ6" s="365"/>
      <c r="IK6" s="365"/>
      <c r="IL6" s="365"/>
      <c r="IM6" s="365"/>
      <c r="IN6" s="365"/>
      <c r="IO6" s="365"/>
      <c r="IP6" s="365"/>
      <c r="IQ6" s="365"/>
      <c r="IR6" s="365"/>
      <c r="IS6" s="365"/>
      <c r="IT6" s="365"/>
      <c r="IU6" s="365"/>
      <c r="IV6" s="365"/>
    </row>
    <row r="7" s="311" customFormat="1" ht="50.1" customHeight="1" spans="1:256">
      <c r="A7" s="331" t="s">
        <v>22</v>
      </c>
      <c r="B7" s="322">
        <f>SUM(B8:B13)</f>
        <v>9878</v>
      </c>
      <c r="C7" s="322">
        <f t="shared" ref="C7:Y7" si="0">SUM(C8:C13)</f>
        <v>4</v>
      </c>
      <c r="D7" s="322">
        <f t="shared" si="0"/>
        <v>11</v>
      </c>
      <c r="E7" s="322">
        <f t="shared" si="0"/>
        <v>900</v>
      </c>
      <c r="F7" s="322">
        <f t="shared" si="0"/>
        <v>3</v>
      </c>
      <c r="G7" s="322">
        <f t="shared" si="0"/>
        <v>9760</v>
      </c>
      <c r="H7" s="322">
        <f t="shared" si="0"/>
        <v>4</v>
      </c>
      <c r="I7" s="322">
        <f t="shared" si="0"/>
        <v>18</v>
      </c>
      <c r="J7" s="322">
        <f t="shared" si="0"/>
        <v>833</v>
      </c>
      <c r="K7" s="346">
        <f t="shared" si="0"/>
        <v>16.1</v>
      </c>
      <c r="L7" s="346">
        <f t="shared" si="0"/>
        <v>0.44</v>
      </c>
      <c r="M7" s="346"/>
      <c r="N7" s="346">
        <f>SUM(N8:N13)</f>
        <v>0.07</v>
      </c>
      <c r="O7" s="346"/>
      <c r="P7" s="346">
        <f t="shared" si="0"/>
        <v>1.67</v>
      </c>
      <c r="Q7" s="346">
        <f t="shared" si="0"/>
        <v>7.33</v>
      </c>
      <c r="R7" s="346">
        <f t="shared" si="0"/>
        <v>0.1</v>
      </c>
      <c r="S7" s="346">
        <f t="shared" si="0"/>
        <v>0.53</v>
      </c>
      <c r="T7" s="346">
        <f t="shared" si="0"/>
        <v>0.21</v>
      </c>
      <c r="U7" s="346">
        <f t="shared" si="0"/>
        <v>1.8</v>
      </c>
      <c r="V7" s="346">
        <f t="shared" si="0"/>
        <v>34.16</v>
      </c>
      <c r="W7" s="346">
        <f t="shared" si="0"/>
        <v>6.66</v>
      </c>
      <c r="X7" s="346">
        <f t="shared" si="0"/>
        <v>12.52</v>
      </c>
      <c r="Y7" s="346">
        <f t="shared" si="0"/>
        <v>14</v>
      </c>
      <c r="Z7" s="346">
        <f>SUM(K7:Y7)</f>
        <v>95.59</v>
      </c>
      <c r="AA7" s="366"/>
      <c r="AB7" s="366"/>
      <c r="AC7" s="366"/>
      <c r="AD7" s="366"/>
      <c r="AE7" s="366"/>
      <c r="AF7" s="366"/>
      <c r="AG7" s="366"/>
      <c r="AH7" s="366"/>
      <c r="AI7" s="366"/>
      <c r="AJ7" s="366"/>
      <c r="AK7" s="366"/>
      <c r="AL7" s="366"/>
      <c r="AM7" s="366"/>
      <c r="AN7" s="366"/>
      <c r="AO7" s="366"/>
      <c r="AP7" s="366"/>
      <c r="AQ7" s="366"/>
      <c r="AR7" s="366"/>
      <c r="AS7" s="366"/>
      <c r="AT7" s="366"/>
      <c r="AU7" s="366"/>
      <c r="AV7" s="366"/>
      <c r="AW7" s="366"/>
      <c r="AX7" s="366"/>
      <c r="AY7" s="366"/>
      <c r="AZ7" s="366"/>
      <c r="BA7" s="366"/>
      <c r="BB7" s="366"/>
      <c r="BC7" s="366"/>
      <c r="BD7" s="366"/>
      <c r="BE7" s="366"/>
      <c r="BF7" s="366"/>
      <c r="BG7" s="366"/>
      <c r="BH7" s="366"/>
      <c r="BI7" s="366"/>
      <c r="BJ7" s="366"/>
      <c r="BK7" s="366"/>
      <c r="BL7" s="366"/>
      <c r="BM7" s="366"/>
      <c r="BN7" s="366"/>
      <c r="BO7" s="366"/>
      <c r="BP7" s="366"/>
      <c r="BQ7" s="366"/>
      <c r="BR7" s="366"/>
      <c r="BS7" s="366"/>
      <c r="BT7" s="366"/>
      <c r="BU7" s="366"/>
      <c r="BV7" s="366"/>
      <c r="BW7" s="366"/>
      <c r="BX7" s="366"/>
      <c r="BY7" s="366"/>
      <c r="BZ7" s="366"/>
      <c r="CA7" s="366"/>
      <c r="CB7" s="366"/>
      <c r="CC7" s="366"/>
      <c r="CD7" s="366"/>
      <c r="CE7" s="366"/>
      <c r="CF7" s="366"/>
      <c r="CG7" s="366"/>
      <c r="CH7" s="366"/>
      <c r="CI7" s="366"/>
      <c r="CJ7" s="366"/>
      <c r="CK7" s="366"/>
      <c r="CL7" s="366"/>
      <c r="CM7" s="366"/>
      <c r="CN7" s="366"/>
      <c r="CO7" s="366"/>
      <c r="CP7" s="366"/>
      <c r="CQ7" s="366"/>
      <c r="CR7" s="366"/>
      <c r="CS7" s="366"/>
      <c r="CT7" s="366"/>
      <c r="CU7" s="366"/>
      <c r="CV7" s="366"/>
      <c r="CW7" s="366"/>
      <c r="CX7" s="366"/>
      <c r="CY7" s="366"/>
      <c r="CZ7" s="366"/>
      <c r="DA7" s="366"/>
      <c r="DB7" s="366"/>
      <c r="DC7" s="366"/>
      <c r="DD7" s="366"/>
      <c r="DE7" s="366"/>
      <c r="DF7" s="366"/>
      <c r="DG7" s="366"/>
      <c r="DH7" s="366"/>
      <c r="DI7" s="366"/>
      <c r="DJ7" s="366"/>
      <c r="DK7" s="366"/>
      <c r="DL7" s="366"/>
      <c r="DM7" s="366"/>
      <c r="DN7" s="366"/>
      <c r="DO7" s="366"/>
      <c r="DP7" s="366"/>
      <c r="DQ7" s="366"/>
      <c r="DR7" s="366"/>
      <c r="DS7" s="366"/>
      <c r="DT7" s="366"/>
      <c r="DU7" s="366"/>
      <c r="DV7" s="366"/>
      <c r="DW7" s="366"/>
      <c r="DX7" s="366"/>
      <c r="DY7" s="366"/>
      <c r="DZ7" s="366"/>
      <c r="EA7" s="366"/>
      <c r="EB7" s="366"/>
      <c r="EC7" s="366"/>
      <c r="ED7" s="366"/>
      <c r="EE7" s="366"/>
      <c r="EF7" s="366"/>
      <c r="EG7" s="366"/>
      <c r="EH7" s="366"/>
      <c r="EI7" s="366"/>
      <c r="EJ7" s="366"/>
      <c r="EK7" s="366"/>
      <c r="EL7" s="366"/>
      <c r="EM7" s="366"/>
      <c r="EN7" s="366"/>
      <c r="EO7" s="366"/>
      <c r="EP7" s="366"/>
      <c r="EQ7" s="366"/>
      <c r="ER7" s="366"/>
      <c r="ES7" s="366"/>
      <c r="ET7" s="366"/>
      <c r="EU7" s="366"/>
      <c r="EV7" s="366"/>
      <c r="EW7" s="366"/>
      <c r="EX7" s="366"/>
      <c r="EY7" s="366"/>
      <c r="EZ7" s="366"/>
      <c r="FA7" s="366"/>
      <c r="FB7" s="366"/>
      <c r="FC7" s="366"/>
      <c r="FD7" s="366"/>
      <c r="FE7" s="366"/>
      <c r="FF7" s="366"/>
      <c r="FG7" s="366"/>
      <c r="FH7" s="366"/>
      <c r="FI7" s="366"/>
      <c r="FJ7" s="366"/>
      <c r="FK7" s="366"/>
      <c r="FL7" s="366"/>
      <c r="FM7" s="366"/>
      <c r="FN7" s="366"/>
      <c r="FO7" s="366"/>
      <c r="FP7" s="366"/>
      <c r="FQ7" s="366"/>
      <c r="FR7" s="366"/>
      <c r="FS7" s="366"/>
      <c r="FT7" s="366"/>
      <c r="FU7" s="366"/>
      <c r="FV7" s="366"/>
      <c r="FW7" s="366"/>
      <c r="FX7" s="366"/>
      <c r="FY7" s="366"/>
      <c r="FZ7" s="366"/>
      <c r="GA7" s="366"/>
      <c r="GB7" s="366"/>
      <c r="GC7" s="366"/>
      <c r="GD7" s="366"/>
      <c r="GE7" s="366"/>
      <c r="GF7" s="366"/>
      <c r="GG7" s="366"/>
      <c r="GH7" s="366"/>
      <c r="GI7" s="366"/>
      <c r="GJ7" s="366"/>
      <c r="GK7" s="366"/>
      <c r="GL7" s="366"/>
      <c r="GM7" s="366"/>
      <c r="GN7" s="366"/>
      <c r="GO7" s="366"/>
      <c r="GP7" s="366"/>
      <c r="GQ7" s="366"/>
      <c r="GR7" s="366"/>
      <c r="GS7" s="366"/>
      <c r="GT7" s="366"/>
      <c r="GU7" s="366"/>
      <c r="GV7" s="366"/>
      <c r="GW7" s="366"/>
      <c r="GX7" s="366"/>
      <c r="GY7" s="366"/>
      <c r="GZ7" s="366"/>
      <c r="HA7" s="366"/>
      <c r="HB7" s="366"/>
      <c r="HC7" s="366"/>
      <c r="HD7" s="366"/>
      <c r="HE7" s="366"/>
      <c r="HF7" s="366"/>
      <c r="HG7" s="366"/>
      <c r="HH7" s="366"/>
      <c r="HI7" s="366"/>
      <c r="HJ7" s="366"/>
      <c r="HK7" s="366"/>
      <c r="HL7" s="366"/>
      <c r="HM7" s="366"/>
      <c r="HN7" s="366"/>
      <c r="HO7" s="366"/>
      <c r="HP7" s="366"/>
      <c r="HQ7" s="366"/>
      <c r="HR7" s="366"/>
      <c r="HS7" s="366"/>
      <c r="HT7" s="366"/>
      <c r="HU7" s="366"/>
      <c r="HV7" s="366"/>
      <c r="HW7" s="366"/>
      <c r="HX7" s="366"/>
      <c r="HY7" s="366"/>
      <c r="HZ7" s="366"/>
      <c r="IA7" s="366"/>
      <c r="IB7" s="366"/>
      <c r="IC7" s="366"/>
      <c r="ID7" s="366"/>
      <c r="IE7" s="366"/>
      <c r="IF7" s="366"/>
      <c r="IG7" s="366"/>
      <c r="IH7" s="366"/>
      <c r="II7" s="366"/>
      <c r="IJ7" s="366"/>
      <c r="IK7" s="366"/>
      <c r="IL7" s="366"/>
      <c r="IM7" s="366"/>
      <c r="IN7" s="366"/>
      <c r="IO7" s="366"/>
      <c r="IP7" s="366"/>
      <c r="IQ7" s="366"/>
      <c r="IR7" s="366"/>
      <c r="IS7" s="366"/>
      <c r="IT7" s="366"/>
      <c r="IU7" s="366"/>
      <c r="IV7" s="366"/>
    </row>
    <row r="8" s="309" customFormat="1" ht="50.1" customHeight="1" spans="1:256">
      <c r="A8" s="332" t="s">
        <v>24</v>
      </c>
      <c r="B8" s="333">
        <v>1560</v>
      </c>
      <c r="C8" s="334">
        <v>1</v>
      </c>
      <c r="D8" s="335">
        <v>1</v>
      </c>
      <c r="E8" s="335">
        <v>124</v>
      </c>
      <c r="F8" s="334"/>
      <c r="G8" s="336">
        <f t="shared" ref="G8:G13" si="1">ROUND(B8*1094400/1107702,0)</f>
        <v>1541</v>
      </c>
      <c r="H8" s="336">
        <f t="shared" ref="H8:H13" si="2">ROUND(C8*368/407,0)</f>
        <v>1</v>
      </c>
      <c r="I8" s="336">
        <f t="shared" ref="I8:I13" si="3">ROUND(D8*3715/2405,0)</f>
        <v>2</v>
      </c>
      <c r="J8" s="336">
        <f t="shared" ref="J8:J13" si="4">ROUND(E8*84240/90970,0)</f>
        <v>115</v>
      </c>
      <c r="K8" s="347">
        <f t="shared" ref="K8:K13" si="5">ROUND((G8*6+30%*G8*15+6*G8)/10000,2)</f>
        <v>2.54</v>
      </c>
      <c r="L8" s="347">
        <f t="shared" ref="L8:L13" si="6">ROUND((180*H8+(60*3+430*2+60*4)*0.7*H8)/10000,2)</f>
        <v>0.11</v>
      </c>
      <c r="M8" s="347"/>
      <c r="N8" s="347">
        <f t="shared" ref="N8:N13" si="7">ROUND((15*2*2+180)*H8*0.7/10000,2)</f>
        <v>0.02</v>
      </c>
      <c r="O8" s="347"/>
      <c r="P8" s="348">
        <f t="shared" ref="P8:P13" si="8">ROUND((1000*H8*0.7+300*H8*0.3+3600*H8*0.7+1200*H8*0.7)/10000,2)</f>
        <v>0.42</v>
      </c>
      <c r="Q8" s="347">
        <f t="shared" ref="Q8:Q13" si="9">ROUND(7.5*G8/10000,2)</f>
        <v>1.16</v>
      </c>
      <c r="R8" s="347">
        <f t="shared" ref="R8:R13" si="10">ROUND((1.25*I8*12+10*4*I8)/10000,2)</f>
        <v>0.01</v>
      </c>
      <c r="S8" s="347">
        <f t="shared" ref="S8:S13" si="11">ROUND((240*I8+30*I8+150*0.1*I8)/10000,2)</f>
        <v>0.06</v>
      </c>
      <c r="T8" s="347">
        <f t="shared" ref="T8:T13" si="12">ROUND(20*6*I8/10000,2)</f>
        <v>0.02</v>
      </c>
      <c r="U8" s="358">
        <f t="shared" ref="U8:U13" si="13">ROUND(1000*I8/10000,2)</f>
        <v>0.2</v>
      </c>
      <c r="V8" s="358">
        <f t="shared" ref="V8:V13" si="14">ROUND(35*G8/10000,2)</f>
        <v>5.39</v>
      </c>
      <c r="W8" s="358">
        <f t="shared" ref="W8:W13" si="15">ROUND(80*J8/10000,2)</f>
        <v>0.92</v>
      </c>
      <c r="X8" s="358">
        <f t="shared" ref="X8:X13" si="16">ROUND((100+50)*J8/10000,2)</f>
        <v>1.73</v>
      </c>
      <c r="Y8" s="358">
        <v>1</v>
      </c>
      <c r="Z8" s="346">
        <f t="shared" ref="Z8:Z13" si="17">SUM(K8:Y8)</f>
        <v>13.58</v>
      </c>
      <c r="AA8" s="361"/>
      <c r="AB8" s="361"/>
      <c r="AC8" s="361"/>
      <c r="AD8" s="361"/>
      <c r="AE8" s="361"/>
      <c r="AF8" s="361"/>
      <c r="AG8" s="361"/>
      <c r="AH8" s="361"/>
      <c r="AI8" s="361"/>
      <c r="AJ8" s="361"/>
      <c r="AK8" s="361"/>
      <c r="AL8" s="361"/>
      <c r="AM8" s="361"/>
      <c r="AN8" s="361"/>
      <c r="AO8" s="361"/>
      <c r="AP8" s="361"/>
      <c r="AQ8" s="361"/>
      <c r="AR8" s="361"/>
      <c r="AS8" s="361"/>
      <c r="AT8" s="361"/>
      <c r="AU8" s="361"/>
      <c r="AV8" s="361"/>
      <c r="AW8" s="361"/>
      <c r="AX8" s="361"/>
      <c r="AY8" s="361"/>
      <c r="AZ8" s="361"/>
      <c r="BA8" s="361"/>
      <c r="BB8" s="361"/>
      <c r="BC8" s="361"/>
      <c r="BD8" s="361"/>
      <c r="BE8" s="361"/>
      <c r="BF8" s="361"/>
      <c r="BG8" s="361"/>
      <c r="BH8" s="361"/>
      <c r="BI8" s="361"/>
      <c r="BJ8" s="361"/>
      <c r="BK8" s="361"/>
      <c r="BL8" s="361"/>
      <c r="BM8" s="361"/>
      <c r="BN8" s="361"/>
      <c r="BO8" s="361"/>
      <c r="BP8" s="361"/>
      <c r="BQ8" s="361"/>
      <c r="BR8" s="361"/>
      <c r="BS8" s="361"/>
      <c r="BT8" s="361"/>
      <c r="BU8" s="361"/>
      <c r="BV8" s="361"/>
      <c r="BW8" s="361"/>
      <c r="BX8" s="361"/>
      <c r="BY8" s="361"/>
      <c r="BZ8" s="361"/>
      <c r="CA8" s="361"/>
      <c r="CB8" s="361"/>
      <c r="CC8" s="361"/>
      <c r="CD8" s="361"/>
      <c r="CE8" s="361"/>
      <c r="CF8" s="361"/>
      <c r="CG8" s="361"/>
      <c r="CH8" s="361"/>
      <c r="CI8" s="361"/>
      <c r="CJ8" s="361"/>
      <c r="CK8" s="361"/>
      <c r="CL8" s="361"/>
      <c r="CM8" s="361"/>
      <c r="CN8" s="361"/>
      <c r="CO8" s="361"/>
      <c r="CP8" s="361"/>
      <c r="CQ8" s="361"/>
      <c r="CR8" s="361"/>
      <c r="CS8" s="361"/>
      <c r="CT8" s="361"/>
      <c r="CU8" s="361"/>
      <c r="CV8" s="361"/>
      <c r="CW8" s="361"/>
      <c r="CX8" s="361"/>
      <c r="CY8" s="361"/>
      <c r="CZ8" s="361"/>
      <c r="DA8" s="361"/>
      <c r="DB8" s="361"/>
      <c r="DC8" s="361"/>
      <c r="DD8" s="361"/>
      <c r="DE8" s="361"/>
      <c r="DF8" s="361"/>
      <c r="DG8" s="361"/>
      <c r="DH8" s="361"/>
      <c r="DI8" s="361"/>
      <c r="DJ8" s="361"/>
      <c r="DK8" s="361"/>
      <c r="DL8" s="361"/>
      <c r="DM8" s="361"/>
      <c r="DN8" s="361"/>
      <c r="DO8" s="361"/>
      <c r="DP8" s="361"/>
      <c r="DQ8" s="361"/>
      <c r="DR8" s="361"/>
      <c r="DS8" s="361"/>
      <c r="DT8" s="361"/>
      <c r="DU8" s="361"/>
      <c r="DV8" s="361"/>
      <c r="DW8" s="361"/>
      <c r="DX8" s="361"/>
      <c r="DY8" s="361"/>
      <c r="DZ8" s="361"/>
      <c r="EA8" s="361"/>
      <c r="EB8" s="361"/>
      <c r="EC8" s="361"/>
      <c r="ED8" s="361"/>
      <c r="EE8" s="361"/>
      <c r="EF8" s="361"/>
      <c r="EG8" s="361"/>
      <c r="EH8" s="361"/>
      <c r="EI8" s="361"/>
      <c r="EJ8" s="361"/>
      <c r="EK8" s="361"/>
      <c r="EL8" s="361"/>
      <c r="EM8" s="361"/>
      <c r="EN8" s="361"/>
      <c r="EO8" s="361"/>
      <c r="EP8" s="361"/>
      <c r="EQ8" s="361"/>
      <c r="ER8" s="361"/>
      <c r="ES8" s="361"/>
      <c r="ET8" s="361"/>
      <c r="EU8" s="361"/>
      <c r="EV8" s="361"/>
      <c r="EW8" s="361"/>
      <c r="EX8" s="361"/>
      <c r="EY8" s="361"/>
      <c r="EZ8" s="361"/>
      <c r="FA8" s="361"/>
      <c r="FB8" s="361"/>
      <c r="FC8" s="361"/>
      <c r="FD8" s="361"/>
      <c r="FE8" s="361"/>
      <c r="FF8" s="361"/>
      <c r="FG8" s="361"/>
      <c r="FH8" s="361"/>
      <c r="FI8" s="361"/>
      <c r="FJ8" s="361"/>
      <c r="FK8" s="361"/>
      <c r="FL8" s="361"/>
      <c r="FM8" s="361"/>
      <c r="FN8" s="361"/>
      <c r="FO8" s="361"/>
      <c r="FP8" s="361"/>
      <c r="FQ8" s="361"/>
      <c r="FR8" s="361"/>
      <c r="FS8" s="361"/>
      <c r="FT8" s="361"/>
      <c r="FU8" s="361"/>
      <c r="FV8" s="361"/>
      <c r="FW8" s="361"/>
      <c r="FX8" s="361"/>
      <c r="FY8" s="361"/>
      <c r="FZ8" s="361"/>
      <c r="GA8" s="361"/>
      <c r="GB8" s="361"/>
      <c r="GC8" s="361"/>
      <c r="GD8" s="361"/>
      <c r="GE8" s="361"/>
      <c r="GF8" s="361"/>
      <c r="GG8" s="361"/>
      <c r="GH8" s="361"/>
      <c r="GI8" s="361"/>
      <c r="GJ8" s="361"/>
      <c r="GK8" s="361"/>
      <c r="GL8" s="361"/>
      <c r="GM8" s="361"/>
      <c r="GN8" s="361"/>
      <c r="GO8" s="361"/>
      <c r="GP8" s="361"/>
      <c r="GQ8" s="361"/>
      <c r="GR8" s="361"/>
      <c r="GS8" s="361"/>
      <c r="GT8" s="361"/>
      <c r="GU8" s="361"/>
      <c r="GV8" s="361"/>
      <c r="GW8" s="361"/>
      <c r="GX8" s="361"/>
      <c r="GY8" s="361"/>
      <c r="GZ8" s="361"/>
      <c r="HA8" s="361"/>
      <c r="HB8" s="361"/>
      <c r="HC8" s="361"/>
      <c r="HD8" s="361"/>
      <c r="HE8" s="361"/>
      <c r="HF8" s="361"/>
      <c r="HG8" s="361"/>
      <c r="HH8" s="361"/>
      <c r="HI8" s="361"/>
      <c r="HJ8" s="361"/>
      <c r="HK8" s="361"/>
      <c r="HL8" s="361"/>
      <c r="HM8" s="361"/>
      <c r="HN8" s="361"/>
      <c r="HO8" s="361"/>
      <c r="HP8" s="361"/>
      <c r="HQ8" s="361"/>
      <c r="HR8" s="361"/>
      <c r="HS8" s="361"/>
      <c r="HT8" s="361"/>
      <c r="HU8" s="361"/>
      <c r="HV8" s="361"/>
      <c r="HW8" s="361"/>
      <c r="HX8" s="361"/>
      <c r="HY8" s="361"/>
      <c r="HZ8" s="361"/>
      <c r="IA8" s="361"/>
      <c r="IB8" s="361"/>
      <c r="IC8" s="361"/>
      <c r="ID8" s="361"/>
      <c r="IE8" s="361"/>
      <c r="IF8" s="361"/>
      <c r="IG8" s="361"/>
      <c r="IH8" s="361"/>
      <c r="II8" s="361"/>
      <c r="IJ8" s="361"/>
      <c r="IK8" s="361"/>
      <c r="IL8" s="361"/>
      <c r="IM8" s="361"/>
      <c r="IN8" s="361"/>
      <c r="IO8" s="361"/>
      <c r="IP8" s="361"/>
      <c r="IQ8" s="361"/>
      <c r="IR8" s="361"/>
      <c r="IS8" s="361"/>
      <c r="IT8" s="361"/>
      <c r="IU8" s="361"/>
      <c r="IV8" s="361"/>
    </row>
    <row r="9" s="309" customFormat="1" ht="50.1" customHeight="1" spans="1:256">
      <c r="A9" s="332" t="s">
        <v>25</v>
      </c>
      <c r="B9" s="333">
        <v>227</v>
      </c>
      <c r="C9" s="334"/>
      <c r="D9" s="335">
        <v>1</v>
      </c>
      <c r="E9" s="335">
        <v>16</v>
      </c>
      <c r="F9" s="334"/>
      <c r="G9" s="336">
        <f t="shared" si="1"/>
        <v>224</v>
      </c>
      <c r="H9" s="336">
        <f t="shared" si="2"/>
        <v>0</v>
      </c>
      <c r="I9" s="336">
        <f t="shared" si="3"/>
        <v>2</v>
      </c>
      <c r="J9" s="336">
        <f t="shared" si="4"/>
        <v>15</v>
      </c>
      <c r="K9" s="347">
        <f t="shared" si="5"/>
        <v>0.37</v>
      </c>
      <c r="L9" s="347">
        <f t="shared" si="6"/>
        <v>0</v>
      </c>
      <c r="M9" s="347"/>
      <c r="N9" s="347">
        <f t="shared" si="7"/>
        <v>0</v>
      </c>
      <c r="O9" s="347"/>
      <c r="P9" s="348">
        <f t="shared" si="8"/>
        <v>0</v>
      </c>
      <c r="Q9" s="347">
        <f t="shared" si="9"/>
        <v>0.17</v>
      </c>
      <c r="R9" s="347">
        <f t="shared" si="10"/>
        <v>0.01</v>
      </c>
      <c r="S9" s="347">
        <f t="shared" si="11"/>
        <v>0.06</v>
      </c>
      <c r="T9" s="347">
        <f t="shared" si="12"/>
        <v>0.02</v>
      </c>
      <c r="U9" s="358">
        <f t="shared" si="13"/>
        <v>0.2</v>
      </c>
      <c r="V9" s="358">
        <f t="shared" si="14"/>
        <v>0.78</v>
      </c>
      <c r="W9" s="358">
        <f t="shared" si="15"/>
        <v>0.12</v>
      </c>
      <c r="X9" s="358">
        <f t="shared" si="16"/>
        <v>0.23</v>
      </c>
      <c r="Y9" s="358">
        <v>1</v>
      </c>
      <c r="Z9" s="346">
        <f t="shared" si="17"/>
        <v>2.96</v>
      </c>
      <c r="AA9" s="361"/>
      <c r="AB9" s="361"/>
      <c r="AC9" s="361"/>
      <c r="AD9" s="361"/>
      <c r="AE9" s="361"/>
      <c r="AF9" s="361"/>
      <c r="AG9" s="361"/>
      <c r="AH9" s="361"/>
      <c r="AI9" s="361"/>
      <c r="AJ9" s="361"/>
      <c r="AK9" s="361"/>
      <c r="AL9" s="361"/>
      <c r="AM9" s="361"/>
      <c r="AN9" s="361"/>
      <c r="AO9" s="361"/>
      <c r="AP9" s="361"/>
      <c r="AQ9" s="361"/>
      <c r="AR9" s="361"/>
      <c r="AS9" s="361"/>
      <c r="AT9" s="361"/>
      <c r="AU9" s="361"/>
      <c r="AV9" s="361"/>
      <c r="AW9" s="361"/>
      <c r="AX9" s="361"/>
      <c r="AY9" s="361"/>
      <c r="AZ9" s="361"/>
      <c r="BA9" s="361"/>
      <c r="BB9" s="361"/>
      <c r="BC9" s="361"/>
      <c r="BD9" s="361"/>
      <c r="BE9" s="361"/>
      <c r="BF9" s="361"/>
      <c r="BG9" s="361"/>
      <c r="BH9" s="361"/>
      <c r="BI9" s="361"/>
      <c r="BJ9" s="361"/>
      <c r="BK9" s="361"/>
      <c r="BL9" s="361"/>
      <c r="BM9" s="361"/>
      <c r="BN9" s="361"/>
      <c r="BO9" s="361"/>
      <c r="BP9" s="361"/>
      <c r="BQ9" s="361"/>
      <c r="BR9" s="361"/>
      <c r="BS9" s="361"/>
      <c r="BT9" s="361"/>
      <c r="BU9" s="361"/>
      <c r="BV9" s="361"/>
      <c r="BW9" s="361"/>
      <c r="BX9" s="361"/>
      <c r="BY9" s="361"/>
      <c r="BZ9" s="361"/>
      <c r="CA9" s="361"/>
      <c r="CB9" s="361"/>
      <c r="CC9" s="361"/>
      <c r="CD9" s="361"/>
      <c r="CE9" s="361"/>
      <c r="CF9" s="361"/>
      <c r="CG9" s="361"/>
      <c r="CH9" s="361"/>
      <c r="CI9" s="361"/>
      <c r="CJ9" s="361"/>
      <c r="CK9" s="361"/>
      <c r="CL9" s="361"/>
      <c r="CM9" s="361"/>
      <c r="CN9" s="361"/>
      <c r="CO9" s="361"/>
      <c r="CP9" s="361"/>
      <c r="CQ9" s="361"/>
      <c r="CR9" s="361"/>
      <c r="CS9" s="361"/>
      <c r="CT9" s="361"/>
      <c r="CU9" s="361"/>
      <c r="CV9" s="361"/>
      <c r="CW9" s="361"/>
      <c r="CX9" s="361"/>
      <c r="CY9" s="361"/>
      <c r="CZ9" s="361"/>
      <c r="DA9" s="361"/>
      <c r="DB9" s="361"/>
      <c r="DC9" s="361"/>
      <c r="DD9" s="361"/>
      <c r="DE9" s="361"/>
      <c r="DF9" s="361"/>
      <c r="DG9" s="361"/>
      <c r="DH9" s="361"/>
      <c r="DI9" s="361"/>
      <c r="DJ9" s="361"/>
      <c r="DK9" s="361"/>
      <c r="DL9" s="361"/>
      <c r="DM9" s="361"/>
      <c r="DN9" s="361"/>
      <c r="DO9" s="361"/>
      <c r="DP9" s="361"/>
      <c r="DQ9" s="361"/>
      <c r="DR9" s="361"/>
      <c r="DS9" s="361"/>
      <c r="DT9" s="361"/>
      <c r="DU9" s="361"/>
      <c r="DV9" s="361"/>
      <c r="DW9" s="361"/>
      <c r="DX9" s="361"/>
      <c r="DY9" s="361"/>
      <c r="DZ9" s="361"/>
      <c r="EA9" s="361"/>
      <c r="EB9" s="361"/>
      <c r="EC9" s="361"/>
      <c r="ED9" s="361"/>
      <c r="EE9" s="361"/>
      <c r="EF9" s="361"/>
      <c r="EG9" s="361"/>
      <c r="EH9" s="361"/>
      <c r="EI9" s="361"/>
      <c r="EJ9" s="361"/>
      <c r="EK9" s="361"/>
      <c r="EL9" s="361"/>
      <c r="EM9" s="361"/>
      <c r="EN9" s="361"/>
      <c r="EO9" s="361"/>
      <c r="EP9" s="361"/>
      <c r="EQ9" s="361"/>
      <c r="ER9" s="361"/>
      <c r="ES9" s="361"/>
      <c r="ET9" s="361"/>
      <c r="EU9" s="361"/>
      <c r="EV9" s="361"/>
      <c r="EW9" s="361"/>
      <c r="EX9" s="361"/>
      <c r="EY9" s="361"/>
      <c r="EZ9" s="361"/>
      <c r="FA9" s="361"/>
      <c r="FB9" s="361"/>
      <c r="FC9" s="361"/>
      <c r="FD9" s="361"/>
      <c r="FE9" s="361"/>
      <c r="FF9" s="361"/>
      <c r="FG9" s="361"/>
      <c r="FH9" s="361"/>
      <c r="FI9" s="361"/>
      <c r="FJ9" s="361"/>
      <c r="FK9" s="361"/>
      <c r="FL9" s="361"/>
      <c r="FM9" s="361"/>
      <c r="FN9" s="361"/>
      <c r="FO9" s="361"/>
      <c r="FP9" s="361"/>
      <c r="FQ9" s="361"/>
      <c r="FR9" s="361"/>
      <c r="FS9" s="361"/>
      <c r="FT9" s="361"/>
      <c r="FU9" s="361"/>
      <c r="FV9" s="361"/>
      <c r="FW9" s="361"/>
      <c r="FX9" s="361"/>
      <c r="FY9" s="361"/>
      <c r="FZ9" s="361"/>
      <c r="GA9" s="361"/>
      <c r="GB9" s="361"/>
      <c r="GC9" s="361"/>
      <c r="GD9" s="361"/>
      <c r="GE9" s="361"/>
      <c r="GF9" s="361"/>
      <c r="GG9" s="361"/>
      <c r="GH9" s="361"/>
      <c r="GI9" s="361"/>
      <c r="GJ9" s="361"/>
      <c r="GK9" s="361"/>
      <c r="GL9" s="361"/>
      <c r="GM9" s="361"/>
      <c r="GN9" s="361"/>
      <c r="GO9" s="361"/>
      <c r="GP9" s="361"/>
      <c r="GQ9" s="361"/>
      <c r="GR9" s="361"/>
      <c r="GS9" s="361"/>
      <c r="GT9" s="361"/>
      <c r="GU9" s="361"/>
      <c r="GV9" s="361"/>
      <c r="GW9" s="361"/>
      <c r="GX9" s="361"/>
      <c r="GY9" s="361"/>
      <c r="GZ9" s="361"/>
      <c r="HA9" s="361"/>
      <c r="HB9" s="361"/>
      <c r="HC9" s="361"/>
      <c r="HD9" s="361"/>
      <c r="HE9" s="361"/>
      <c r="HF9" s="361"/>
      <c r="HG9" s="361"/>
      <c r="HH9" s="361"/>
      <c r="HI9" s="361"/>
      <c r="HJ9" s="361"/>
      <c r="HK9" s="361"/>
      <c r="HL9" s="361"/>
      <c r="HM9" s="361"/>
      <c r="HN9" s="361"/>
      <c r="HO9" s="361"/>
      <c r="HP9" s="361"/>
      <c r="HQ9" s="361"/>
      <c r="HR9" s="361"/>
      <c r="HS9" s="361"/>
      <c r="HT9" s="361"/>
      <c r="HU9" s="361"/>
      <c r="HV9" s="361"/>
      <c r="HW9" s="361"/>
      <c r="HX9" s="361"/>
      <c r="HY9" s="361"/>
      <c r="HZ9" s="361"/>
      <c r="IA9" s="361"/>
      <c r="IB9" s="361"/>
      <c r="IC9" s="361"/>
      <c r="ID9" s="361"/>
      <c r="IE9" s="361"/>
      <c r="IF9" s="361"/>
      <c r="IG9" s="361"/>
      <c r="IH9" s="361"/>
      <c r="II9" s="361"/>
      <c r="IJ9" s="361"/>
      <c r="IK9" s="361"/>
      <c r="IL9" s="361"/>
      <c r="IM9" s="361"/>
      <c r="IN9" s="361"/>
      <c r="IO9" s="361"/>
      <c r="IP9" s="361"/>
      <c r="IQ9" s="361"/>
      <c r="IR9" s="361"/>
      <c r="IS9" s="361"/>
      <c r="IT9" s="361"/>
      <c r="IU9" s="361"/>
      <c r="IV9" s="361"/>
    </row>
    <row r="10" s="309" customFormat="1" ht="50.1" customHeight="1" spans="1:256">
      <c r="A10" s="332" t="s">
        <v>26</v>
      </c>
      <c r="B10" s="333">
        <v>3693</v>
      </c>
      <c r="C10" s="334">
        <v>2</v>
      </c>
      <c r="D10" s="335">
        <v>6</v>
      </c>
      <c r="E10" s="335">
        <v>342</v>
      </c>
      <c r="F10" s="334"/>
      <c r="G10" s="336">
        <v>3346</v>
      </c>
      <c r="H10" s="336">
        <f t="shared" si="2"/>
        <v>2</v>
      </c>
      <c r="I10" s="336">
        <f t="shared" si="3"/>
        <v>9</v>
      </c>
      <c r="J10" s="336">
        <v>315</v>
      </c>
      <c r="K10" s="347">
        <f t="shared" si="5"/>
        <v>5.52</v>
      </c>
      <c r="L10" s="347">
        <f t="shared" si="6"/>
        <v>0.22</v>
      </c>
      <c r="M10" s="347"/>
      <c r="N10" s="347">
        <f t="shared" si="7"/>
        <v>0.03</v>
      </c>
      <c r="O10" s="347"/>
      <c r="P10" s="348">
        <f t="shared" si="8"/>
        <v>0.83</v>
      </c>
      <c r="Q10" s="347">
        <f t="shared" si="9"/>
        <v>2.51</v>
      </c>
      <c r="R10" s="347">
        <f t="shared" si="10"/>
        <v>0.05</v>
      </c>
      <c r="S10" s="347">
        <f t="shared" si="11"/>
        <v>0.26</v>
      </c>
      <c r="T10" s="347">
        <f t="shared" si="12"/>
        <v>0.11</v>
      </c>
      <c r="U10" s="358">
        <f t="shared" si="13"/>
        <v>0.9</v>
      </c>
      <c r="V10" s="358">
        <f t="shared" si="14"/>
        <v>11.71</v>
      </c>
      <c r="W10" s="358">
        <f t="shared" si="15"/>
        <v>2.52</v>
      </c>
      <c r="X10" s="358">
        <f t="shared" si="16"/>
        <v>4.73</v>
      </c>
      <c r="Y10" s="358">
        <v>6</v>
      </c>
      <c r="Z10" s="346">
        <f t="shared" si="17"/>
        <v>35.39</v>
      </c>
      <c r="AA10" s="361"/>
      <c r="AB10" s="361"/>
      <c r="AC10" s="361"/>
      <c r="AD10" s="361"/>
      <c r="AE10" s="361"/>
      <c r="AF10" s="361"/>
      <c r="AG10" s="361"/>
      <c r="AH10" s="361"/>
      <c r="AI10" s="361"/>
      <c r="AJ10" s="361"/>
      <c r="AK10" s="361"/>
      <c r="AL10" s="361"/>
      <c r="AM10" s="361"/>
      <c r="AN10" s="361"/>
      <c r="AO10" s="361"/>
      <c r="AP10" s="361"/>
      <c r="AQ10" s="361"/>
      <c r="AR10" s="361"/>
      <c r="AS10" s="361"/>
      <c r="AT10" s="361"/>
      <c r="AU10" s="361"/>
      <c r="AV10" s="361"/>
      <c r="AW10" s="361"/>
      <c r="AX10" s="361"/>
      <c r="AY10" s="361"/>
      <c r="AZ10" s="361"/>
      <c r="BA10" s="361"/>
      <c r="BB10" s="361"/>
      <c r="BC10" s="361"/>
      <c r="BD10" s="361"/>
      <c r="BE10" s="361"/>
      <c r="BF10" s="361"/>
      <c r="BG10" s="361"/>
      <c r="BH10" s="361"/>
      <c r="BI10" s="361"/>
      <c r="BJ10" s="361"/>
      <c r="BK10" s="361"/>
      <c r="BL10" s="361"/>
      <c r="BM10" s="361"/>
      <c r="BN10" s="361"/>
      <c r="BO10" s="361"/>
      <c r="BP10" s="361"/>
      <c r="BQ10" s="361"/>
      <c r="BR10" s="361"/>
      <c r="BS10" s="361"/>
      <c r="BT10" s="361"/>
      <c r="BU10" s="361"/>
      <c r="BV10" s="361"/>
      <c r="BW10" s="361"/>
      <c r="BX10" s="361"/>
      <c r="BY10" s="361"/>
      <c r="BZ10" s="361"/>
      <c r="CA10" s="361"/>
      <c r="CB10" s="361"/>
      <c r="CC10" s="361"/>
      <c r="CD10" s="361"/>
      <c r="CE10" s="361"/>
      <c r="CF10" s="361"/>
      <c r="CG10" s="361"/>
      <c r="CH10" s="361"/>
      <c r="CI10" s="361"/>
      <c r="CJ10" s="361"/>
      <c r="CK10" s="361"/>
      <c r="CL10" s="361"/>
      <c r="CM10" s="361"/>
      <c r="CN10" s="361"/>
      <c r="CO10" s="361"/>
      <c r="CP10" s="361"/>
      <c r="CQ10" s="361"/>
      <c r="CR10" s="361"/>
      <c r="CS10" s="361"/>
      <c r="CT10" s="361"/>
      <c r="CU10" s="361"/>
      <c r="CV10" s="361"/>
      <c r="CW10" s="361"/>
      <c r="CX10" s="361"/>
      <c r="CY10" s="361"/>
      <c r="CZ10" s="361"/>
      <c r="DA10" s="361"/>
      <c r="DB10" s="361"/>
      <c r="DC10" s="361"/>
      <c r="DD10" s="361"/>
      <c r="DE10" s="361"/>
      <c r="DF10" s="361"/>
      <c r="DG10" s="361"/>
      <c r="DH10" s="361"/>
      <c r="DI10" s="361"/>
      <c r="DJ10" s="361"/>
      <c r="DK10" s="361"/>
      <c r="DL10" s="361"/>
      <c r="DM10" s="361"/>
      <c r="DN10" s="361"/>
      <c r="DO10" s="361"/>
      <c r="DP10" s="361"/>
      <c r="DQ10" s="361"/>
      <c r="DR10" s="361"/>
      <c r="DS10" s="361"/>
      <c r="DT10" s="361"/>
      <c r="DU10" s="361"/>
      <c r="DV10" s="361"/>
      <c r="DW10" s="361"/>
      <c r="DX10" s="361"/>
      <c r="DY10" s="361"/>
      <c r="DZ10" s="361"/>
      <c r="EA10" s="361"/>
      <c r="EB10" s="361"/>
      <c r="EC10" s="361"/>
      <c r="ED10" s="361"/>
      <c r="EE10" s="361"/>
      <c r="EF10" s="361"/>
      <c r="EG10" s="361"/>
      <c r="EH10" s="361"/>
      <c r="EI10" s="361"/>
      <c r="EJ10" s="361"/>
      <c r="EK10" s="361"/>
      <c r="EL10" s="361"/>
      <c r="EM10" s="361"/>
      <c r="EN10" s="361"/>
      <c r="EO10" s="361"/>
      <c r="EP10" s="361"/>
      <c r="EQ10" s="361"/>
      <c r="ER10" s="361"/>
      <c r="ES10" s="361"/>
      <c r="ET10" s="361"/>
      <c r="EU10" s="361"/>
      <c r="EV10" s="361"/>
      <c r="EW10" s="361"/>
      <c r="EX10" s="361"/>
      <c r="EY10" s="361"/>
      <c r="EZ10" s="361"/>
      <c r="FA10" s="361"/>
      <c r="FB10" s="361"/>
      <c r="FC10" s="361"/>
      <c r="FD10" s="361"/>
      <c r="FE10" s="361"/>
      <c r="FF10" s="361"/>
      <c r="FG10" s="361"/>
      <c r="FH10" s="361"/>
      <c r="FI10" s="361"/>
      <c r="FJ10" s="361"/>
      <c r="FK10" s="361"/>
      <c r="FL10" s="361"/>
      <c r="FM10" s="361"/>
      <c r="FN10" s="361"/>
      <c r="FO10" s="361"/>
      <c r="FP10" s="361"/>
      <c r="FQ10" s="361"/>
      <c r="FR10" s="361"/>
      <c r="FS10" s="361"/>
      <c r="FT10" s="361"/>
      <c r="FU10" s="361"/>
      <c r="FV10" s="361"/>
      <c r="FW10" s="361"/>
      <c r="FX10" s="361"/>
      <c r="FY10" s="361"/>
      <c r="FZ10" s="361"/>
      <c r="GA10" s="361"/>
      <c r="GB10" s="361"/>
      <c r="GC10" s="361"/>
      <c r="GD10" s="361"/>
      <c r="GE10" s="361"/>
      <c r="GF10" s="361"/>
      <c r="GG10" s="361"/>
      <c r="GH10" s="361"/>
      <c r="GI10" s="361"/>
      <c r="GJ10" s="361"/>
      <c r="GK10" s="361"/>
      <c r="GL10" s="361"/>
      <c r="GM10" s="361"/>
      <c r="GN10" s="361"/>
      <c r="GO10" s="361"/>
      <c r="GP10" s="361"/>
      <c r="GQ10" s="361"/>
      <c r="GR10" s="361"/>
      <c r="GS10" s="361"/>
      <c r="GT10" s="361"/>
      <c r="GU10" s="361"/>
      <c r="GV10" s="361"/>
      <c r="GW10" s="361"/>
      <c r="GX10" s="361"/>
      <c r="GY10" s="361"/>
      <c r="GZ10" s="361"/>
      <c r="HA10" s="361"/>
      <c r="HB10" s="361"/>
      <c r="HC10" s="361"/>
      <c r="HD10" s="361"/>
      <c r="HE10" s="361"/>
      <c r="HF10" s="361"/>
      <c r="HG10" s="361"/>
      <c r="HH10" s="361"/>
      <c r="HI10" s="361"/>
      <c r="HJ10" s="361"/>
      <c r="HK10" s="361"/>
      <c r="HL10" s="361"/>
      <c r="HM10" s="361"/>
      <c r="HN10" s="361"/>
      <c r="HO10" s="361"/>
      <c r="HP10" s="361"/>
      <c r="HQ10" s="361"/>
      <c r="HR10" s="361"/>
      <c r="HS10" s="361"/>
      <c r="HT10" s="361"/>
      <c r="HU10" s="361"/>
      <c r="HV10" s="361"/>
      <c r="HW10" s="361"/>
      <c r="HX10" s="361"/>
      <c r="HY10" s="361"/>
      <c r="HZ10" s="361"/>
      <c r="IA10" s="361"/>
      <c r="IB10" s="361"/>
      <c r="IC10" s="361"/>
      <c r="ID10" s="361"/>
      <c r="IE10" s="361"/>
      <c r="IF10" s="361"/>
      <c r="IG10" s="361"/>
      <c r="IH10" s="361"/>
      <c r="II10" s="361"/>
      <c r="IJ10" s="361"/>
      <c r="IK10" s="361"/>
      <c r="IL10" s="361"/>
      <c r="IM10" s="361"/>
      <c r="IN10" s="361"/>
      <c r="IO10" s="361"/>
      <c r="IP10" s="361"/>
      <c r="IQ10" s="361"/>
      <c r="IR10" s="361"/>
      <c r="IS10" s="361"/>
      <c r="IT10" s="361"/>
      <c r="IU10" s="361"/>
      <c r="IV10" s="361"/>
    </row>
    <row r="11" s="309" customFormat="1" ht="50.1" customHeight="1" spans="1:256">
      <c r="A11" s="332" t="s">
        <v>32</v>
      </c>
      <c r="B11" s="333">
        <v>865</v>
      </c>
      <c r="C11" s="334">
        <v>0</v>
      </c>
      <c r="D11" s="335">
        <v>1</v>
      </c>
      <c r="E11" s="335">
        <v>69</v>
      </c>
      <c r="F11" s="334">
        <v>1</v>
      </c>
      <c r="G11" s="336">
        <v>1159</v>
      </c>
      <c r="H11" s="336">
        <f t="shared" si="2"/>
        <v>0</v>
      </c>
      <c r="I11" s="336">
        <f t="shared" si="3"/>
        <v>2</v>
      </c>
      <c r="J11" s="336">
        <f t="shared" si="4"/>
        <v>64</v>
      </c>
      <c r="K11" s="347">
        <f t="shared" si="5"/>
        <v>1.91</v>
      </c>
      <c r="L11" s="347">
        <f t="shared" si="6"/>
        <v>0</v>
      </c>
      <c r="M11" s="347"/>
      <c r="N11" s="347">
        <f t="shared" si="7"/>
        <v>0</v>
      </c>
      <c r="O11" s="347"/>
      <c r="P11" s="348">
        <f t="shared" si="8"/>
        <v>0</v>
      </c>
      <c r="Q11" s="347">
        <f t="shared" si="9"/>
        <v>0.87</v>
      </c>
      <c r="R11" s="347">
        <f t="shared" si="10"/>
        <v>0.01</v>
      </c>
      <c r="S11" s="347">
        <f t="shared" si="11"/>
        <v>0.06</v>
      </c>
      <c r="T11" s="347">
        <f t="shared" si="12"/>
        <v>0.02</v>
      </c>
      <c r="U11" s="358">
        <f t="shared" si="13"/>
        <v>0.2</v>
      </c>
      <c r="V11" s="358">
        <f t="shared" si="14"/>
        <v>4.06</v>
      </c>
      <c r="W11" s="358">
        <f t="shared" si="15"/>
        <v>0.51</v>
      </c>
      <c r="X11" s="358">
        <f t="shared" si="16"/>
        <v>0.96</v>
      </c>
      <c r="Y11" s="358">
        <v>2</v>
      </c>
      <c r="Z11" s="346">
        <f t="shared" si="17"/>
        <v>10.6</v>
      </c>
      <c r="AA11" s="361"/>
      <c r="AB11" s="361"/>
      <c r="AC11" s="361"/>
      <c r="AD11" s="361"/>
      <c r="AE11" s="361"/>
      <c r="AF11" s="361"/>
      <c r="AG11" s="361"/>
      <c r="AH11" s="361"/>
      <c r="AI11" s="361"/>
      <c r="AJ11" s="361"/>
      <c r="AK11" s="361"/>
      <c r="AL11" s="361"/>
      <c r="AM11" s="361"/>
      <c r="AN11" s="361"/>
      <c r="AO11" s="361"/>
      <c r="AP11" s="361"/>
      <c r="AQ11" s="361"/>
      <c r="AR11" s="361"/>
      <c r="AS11" s="361"/>
      <c r="AT11" s="361"/>
      <c r="AU11" s="361"/>
      <c r="AV11" s="361"/>
      <c r="AW11" s="361"/>
      <c r="AX11" s="361"/>
      <c r="AY11" s="361"/>
      <c r="AZ11" s="361"/>
      <c r="BA11" s="361"/>
      <c r="BB11" s="361"/>
      <c r="BC11" s="361"/>
      <c r="BD11" s="361"/>
      <c r="BE11" s="361"/>
      <c r="BF11" s="361"/>
      <c r="BG11" s="361"/>
      <c r="BH11" s="361"/>
      <c r="BI11" s="361"/>
      <c r="BJ11" s="361"/>
      <c r="BK11" s="361"/>
      <c r="BL11" s="361"/>
      <c r="BM11" s="361"/>
      <c r="BN11" s="361"/>
      <c r="BO11" s="361"/>
      <c r="BP11" s="361"/>
      <c r="BQ11" s="361"/>
      <c r="BR11" s="361"/>
      <c r="BS11" s="361"/>
      <c r="BT11" s="361"/>
      <c r="BU11" s="361"/>
      <c r="BV11" s="361"/>
      <c r="BW11" s="361"/>
      <c r="BX11" s="361"/>
      <c r="BY11" s="361"/>
      <c r="BZ11" s="361"/>
      <c r="CA11" s="361"/>
      <c r="CB11" s="361"/>
      <c r="CC11" s="361"/>
      <c r="CD11" s="361"/>
      <c r="CE11" s="361"/>
      <c r="CF11" s="361"/>
      <c r="CG11" s="361"/>
      <c r="CH11" s="361"/>
      <c r="CI11" s="361"/>
      <c r="CJ11" s="361"/>
      <c r="CK11" s="361"/>
      <c r="CL11" s="361"/>
      <c r="CM11" s="361"/>
      <c r="CN11" s="361"/>
      <c r="CO11" s="361"/>
      <c r="CP11" s="361"/>
      <c r="CQ11" s="361"/>
      <c r="CR11" s="361"/>
      <c r="CS11" s="361"/>
      <c r="CT11" s="361"/>
      <c r="CU11" s="361"/>
      <c r="CV11" s="361"/>
      <c r="CW11" s="361"/>
      <c r="CX11" s="361"/>
      <c r="CY11" s="361"/>
      <c r="CZ11" s="361"/>
      <c r="DA11" s="361"/>
      <c r="DB11" s="361"/>
      <c r="DC11" s="361"/>
      <c r="DD11" s="361"/>
      <c r="DE11" s="361"/>
      <c r="DF11" s="361"/>
      <c r="DG11" s="361"/>
      <c r="DH11" s="361"/>
      <c r="DI11" s="361"/>
      <c r="DJ11" s="361"/>
      <c r="DK11" s="361"/>
      <c r="DL11" s="361"/>
      <c r="DM11" s="361"/>
      <c r="DN11" s="361"/>
      <c r="DO11" s="361"/>
      <c r="DP11" s="361"/>
      <c r="DQ11" s="361"/>
      <c r="DR11" s="361"/>
      <c r="DS11" s="361"/>
      <c r="DT11" s="361"/>
      <c r="DU11" s="361"/>
      <c r="DV11" s="361"/>
      <c r="DW11" s="361"/>
      <c r="DX11" s="361"/>
      <c r="DY11" s="361"/>
      <c r="DZ11" s="361"/>
      <c r="EA11" s="361"/>
      <c r="EB11" s="361"/>
      <c r="EC11" s="361"/>
      <c r="ED11" s="361"/>
      <c r="EE11" s="361"/>
      <c r="EF11" s="361"/>
      <c r="EG11" s="361"/>
      <c r="EH11" s="361"/>
      <c r="EI11" s="361"/>
      <c r="EJ11" s="361"/>
      <c r="EK11" s="361"/>
      <c r="EL11" s="361"/>
      <c r="EM11" s="361"/>
      <c r="EN11" s="361"/>
      <c r="EO11" s="361"/>
      <c r="EP11" s="361"/>
      <c r="EQ11" s="361"/>
      <c r="ER11" s="361"/>
      <c r="ES11" s="361"/>
      <c r="ET11" s="361"/>
      <c r="EU11" s="361"/>
      <c r="EV11" s="361"/>
      <c r="EW11" s="361"/>
      <c r="EX11" s="361"/>
      <c r="EY11" s="361"/>
      <c r="EZ11" s="361"/>
      <c r="FA11" s="361"/>
      <c r="FB11" s="361"/>
      <c r="FC11" s="361"/>
      <c r="FD11" s="361"/>
      <c r="FE11" s="361"/>
      <c r="FF11" s="361"/>
      <c r="FG11" s="361"/>
      <c r="FH11" s="361"/>
      <c r="FI11" s="361"/>
      <c r="FJ11" s="361"/>
      <c r="FK11" s="361"/>
      <c r="FL11" s="361"/>
      <c r="FM11" s="361"/>
      <c r="FN11" s="361"/>
      <c r="FO11" s="361"/>
      <c r="FP11" s="361"/>
      <c r="FQ11" s="361"/>
      <c r="FR11" s="361"/>
      <c r="FS11" s="361"/>
      <c r="FT11" s="361"/>
      <c r="FU11" s="361"/>
      <c r="FV11" s="361"/>
      <c r="FW11" s="361"/>
      <c r="FX11" s="361"/>
      <c r="FY11" s="361"/>
      <c r="FZ11" s="361"/>
      <c r="GA11" s="361"/>
      <c r="GB11" s="361"/>
      <c r="GC11" s="361"/>
      <c r="GD11" s="361"/>
      <c r="GE11" s="361"/>
      <c r="GF11" s="361"/>
      <c r="GG11" s="361"/>
      <c r="GH11" s="361"/>
      <c r="GI11" s="361"/>
      <c r="GJ11" s="361"/>
      <c r="GK11" s="361"/>
      <c r="GL11" s="361"/>
      <c r="GM11" s="361"/>
      <c r="GN11" s="361"/>
      <c r="GO11" s="361"/>
      <c r="GP11" s="361"/>
      <c r="GQ11" s="361"/>
      <c r="GR11" s="361"/>
      <c r="GS11" s="361"/>
      <c r="GT11" s="361"/>
      <c r="GU11" s="361"/>
      <c r="GV11" s="361"/>
      <c r="GW11" s="361"/>
      <c r="GX11" s="361"/>
      <c r="GY11" s="361"/>
      <c r="GZ11" s="361"/>
      <c r="HA11" s="361"/>
      <c r="HB11" s="361"/>
      <c r="HC11" s="361"/>
      <c r="HD11" s="361"/>
      <c r="HE11" s="361"/>
      <c r="HF11" s="361"/>
      <c r="HG11" s="361"/>
      <c r="HH11" s="361"/>
      <c r="HI11" s="361"/>
      <c r="HJ11" s="361"/>
      <c r="HK11" s="361"/>
      <c r="HL11" s="361"/>
      <c r="HM11" s="361"/>
      <c r="HN11" s="361"/>
      <c r="HO11" s="361"/>
      <c r="HP11" s="361"/>
      <c r="HQ11" s="361"/>
      <c r="HR11" s="361"/>
      <c r="HS11" s="361"/>
      <c r="HT11" s="361"/>
      <c r="HU11" s="361"/>
      <c r="HV11" s="361"/>
      <c r="HW11" s="361"/>
      <c r="HX11" s="361"/>
      <c r="HY11" s="361"/>
      <c r="HZ11" s="361"/>
      <c r="IA11" s="361"/>
      <c r="IB11" s="361"/>
      <c r="IC11" s="361"/>
      <c r="ID11" s="361"/>
      <c r="IE11" s="361"/>
      <c r="IF11" s="361"/>
      <c r="IG11" s="361"/>
      <c r="IH11" s="361"/>
      <c r="II11" s="361"/>
      <c r="IJ11" s="361"/>
      <c r="IK11" s="361"/>
      <c r="IL11" s="361"/>
      <c r="IM11" s="361"/>
      <c r="IN11" s="361"/>
      <c r="IO11" s="361"/>
      <c r="IP11" s="361"/>
      <c r="IQ11" s="361"/>
      <c r="IR11" s="361"/>
      <c r="IS11" s="361"/>
      <c r="IT11" s="361"/>
      <c r="IU11" s="361"/>
      <c r="IV11" s="361"/>
    </row>
    <row r="12" s="309" customFormat="1" ht="50.1" customHeight="1" spans="1:256">
      <c r="A12" s="332" t="s">
        <v>33</v>
      </c>
      <c r="B12" s="333">
        <v>300</v>
      </c>
      <c r="C12" s="334">
        <v>0</v>
      </c>
      <c r="D12" s="335">
        <v>0</v>
      </c>
      <c r="E12" s="335">
        <v>33</v>
      </c>
      <c r="F12" s="334">
        <v>1</v>
      </c>
      <c r="G12" s="336">
        <f t="shared" si="1"/>
        <v>296</v>
      </c>
      <c r="H12" s="336">
        <f t="shared" si="2"/>
        <v>0</v>
      </c>
      <c r="I12" s="336">
        <f t="shared" si="3"/>
        <v>0</v>
      </c>
      <c r="J12" s="336">
        <f t="shared" si="4"/>
        <v>31</v>
      </c>
      <c r="K12" s="347">
        <f t="shared" si="5"/>
        <v>0.49</v>
      </c>
      <c r="L12" s="347">
        <f t="shared" si="6"/>
        <v>0</v>
      </c>
      <c r="M12" s="347"/>
      <c r="N12" s="347">
        <f t="shared" si="7"/>
        <v>0</v>
      </c>
      <c r="O12" s="347"/>
      <c r="P12" s="348">
        <f t="shared" si="8"/>
        <v>0</v>
      </c>
      <c r="Q12" s="347">
        <f t="shared" si="9"/>
        <v>0.22</v>
      </c>
      <c r="R12" s="347">
        <f t="shared" si="10"/>
        <v>0</v>
      </c>
      <c r="S12" s="347">
        <f t="shared" si="11"/>
        <v>0</v>
      </c>
      <c r="T12" s="347">
        <f t="shared" si="12"/>
        <v>0</v>
      </c>
      <c r="U12" s="358">
        <f t="shared" si="13"/>
        <v>0</v>
      </c>
      <c r="V12" s="358">
        <f t="shared" si="14"/>
        <v>1.04</v>
      </c>
      <c r="W12" s="358">
        <f t="shared" si="15"/>
        <v>0.25</v>
      </c>
      <c r="X12" s="358">
        <f t="shared" si="16"/>
        <v>0.47</v>
      </c>
      <c r="Y12" s="358">
        <v>2</v>
      </c>
      <c r="Z12" s="346">
        <f t="shared" si="17"/>
        <v>4.47</v>
      </c>
      <c r="AA12" s="361"/>
      <c r="AB12" s="361"/>
      <c r="AC12" s="361"/>
      <c r="AD12" s="361"/>
      <c r="AE12" s="361"/>
      <c r="AF12" s="361"/>
      <c r="AG12" s="361"/>
      <c r="AH12" s="361"/>
      <c r="AI12" s="361"/>
      <c r="AJ12" s="361"/>
      <c r="AK12" s="361"/>
      <c r="AL12" s="361"/>
      <c r="AM12" s="361"/>
      <c r="AN12" s="361"/>
      <c r="AO12" s="361"/>
      <c r="AP12" s="361"/>
      <c r="AQ12" s="361"/>
      <c r="AR12" s="361"/>
      <c r="AS12" s="361"/>
      <c r="AT12" s="361"/>
      <c r="AU12" s="361"/>
      <c r="AV12" s="361"/>
      <c r="AW12" s="361"/>
      <c r="AX12" s="361"/>
      <c r="AY12" s="361"/>
      <c r="AZ12" s="361"/>
      <c r="BA12" s="361"/>
      <c r="BB12" s="361"/>
      <c r="BC12" s="361"/>
      <c r="BD12" s="361"/>
      <c r="BE12" s="361"/>
      <c r="BF12" s="361"/>
      <c r="BG12" s="361"/>
      <c r="BH12" s="361"/>
      <c r="BI12" s="361"/>
      <c r="BJ12" s="361"/>
      <c r="BK12" s="361"/>
      <c r="BL12" s="361"/>
      <c r="BM12" s="361"/>
      <c r="BN12" s="361"/>
      <c r="BO12" s="361"/>
      <c r="BP12" s="361"/>
      <c r="BQ12" s="361"/>
      <c r="BR12" s="361"/>
      <c r="BS12" s="361"/>
      <c r="BT12" s="361"/>
      <c r="BU12" s="361"/>
      <c r="BV12" s="361"/>
      <c r="BW12" s="361"/>
      <c r="BX12" s="361"/>
      <c r="BY12" s="361"/>
      <c r="BZ12" s="361"/>
      <c r="CA12" s="361"/>
      <c r="CB12" s="361"/>
      <c r="CC12" s="361"/>
      <c r="CD12" s="361"/>
      <c r="CE12" s="361"/>
      <c r="CF12" s="361"/>
      <c r="CG12" s="361"/>
      <c r="CH12" s="361"/>
      <c r="CI12" s="361"/>
      <c r="CJ12" s="361"/>
      <c r="CK12" s="361"/>
      <c r="CL12" s="361"/>
      <c r="CM12" s="361"/>
      <c r="CN12" s="361"/>
      <c r="CO12" s="361"/>
      <c r="CP12" s="361"/>
      <c r="CQ12" s="361"/>
      <c r="CR12" s="361"/>
      <c r="CS12" s="361"/>
      <c r="CT12" s="361"/>
      <c r="CU12" s="361"/>
      <c r="CV12" s="361"/>
      <c r="CW12" s="361"/>
      <c r="CX12" s="361"/>
      <c r="CY12" s="361"/>
      <c r="CZ12" s="361"/>
      <c r="DA12" s="361"/>
      <c r="DB12" s="361"/>
      <c r="DC12" s="361"/>
      <c r="DD12" s="361"/>
      <c r="DE12" s="361"/>
      <c r="DF12" s="361"/>
      <c r="DG12" s="361"/>
      <c r="DH12" s="361"/>
      <c r="DI12" s="361"/>
      <c r="DJ12" s="361"/>
      <c r="DK12" s="361"/>
      <c r="DL12" s="361"/>
      <c r="DM12" s="361"/>
      <c r="DN12" s="361"/>
      <c r="DO12" s="361"/>
      <c r="DP12" s="361"/>
      <c r="DQ12" s="361"/>
      <c r="DR12" s="361"/>
      <c r="DS12" s="361"/>
      <c r="DT12" s="361"/>
      <c r="DU12" s="361"/>
      <c r="DV12" s="361"/>
      <c r="DW12" s="361"/>
      <c r="DX12" s="361"/>
      <c r="DY12" s="361"/>
      <c r="DZ12" s="361"/>
      <c r="EA12" s="361"/>
      <c r="EB12" s="361"/>
      <c r="EC12" s="361"/>
      <c r="ED12" s="361"/>
      <c r="EE12" s="361"/>
      <c r="EF12" s="361"/>
      <c r="EG12" s="361"/>
      <c r="EH12" s="361"/>
      <c r="EI12" s="361"/>
      <c r="EJ12" s="361"/>
      <c r="EK12" s="361"/>
      <c r="EL12" s="361"/>
      <c r="EM12" s="361"/>
      <c r="EN12" s="361"/>
      <c r="EO12" s="361"/>
      <c r="EP12" s="361"/>
      <c r="EQ12" s="361"/>
      <c r="ER12" s="361"/>
      <c r="ES12" s="361"/>
      <c r="ET12" s="361"/>
      <c r="EU12" s="361"/>
      <c r="EV12" s="361"/>
      <c r="EW12" s="361"/>
      <c r="EX12" s="361"/>
      <c r="EY12" s="361"/>
      <c r="EZ12" s="361"/>
      <c r="FA12" s="361"/>
      <c r="FB12" s="361"/>
      <c r="FC12" s="361"/>
      <c r="FD12" s="361"/>
      <c r="FE12" s="361"/>
      <c r="FF12" s="361"/>
      <c r="FG12" s="361"/>
      <c r="FH12" s="361"/>
      <c r="FI12" s="361"/>
      <c r="FJ12" s="361"/>
      <c r="FK12" s="361"/>
      <c r="FL12" s="361"/>
      <c r="FM12" s="361"/>
      <c r="FN12" s="361"/>
      <c r="FO12" s="361"/>
      <c r="FP12" s="361"/>
      <c r="FQ12" s="361"/>
      <c r="FR12" s="361"/>
      <c r="FS12" s="361"/>
      <c r="FT12" s="361"/>
      <c r="FU12" s="361"/>
      <c r="FV12" s="361"/>
      <c r="FW12" s="361"/>
      <c r="FX12" s="361"/>
      <c r="FY12" s="361"/>
      <c r="FZ12" s="361"/>
      <c r="GA12" s="361"/>
      <c r="GB12" s="361"/>
      <c r="GC12" s="361"/>
      <c r="GD12" s="361"/>
      <c r="GE12" s="361"/>
      <c r="GF12" s="361"/>
      <c r="GG12" s="361"/>
      <c r="GH12" s="361"/>
      <c r="GI12" s="361"/>
      <c r="GJ12" s="361"/>
      <c r="GK12" s="361"/>
      <c r="GL12" s="361"/>
      <c r="GM12" s="361"/>
      <c r="GN12" s="361"/>
      <c r="GO12" s="361"/>
      <c r="GP12" s="361"/>
      <c r="GQ12" s="361"/>
      <c r="GR12" s="361"/>
      <c r="GS12" s="361"/>
      <c r="GT12" s="361"/>
      <c r="GU12" s="361"/>
      <c r="GV12" s="361"/>
      <c r="GW12" s="361"/>
      <c r="GX12" s="361"/>
      <c r="GY12" s="361"/>
      <c r="GZ12" s="361"/>
      <c r="HA12" s="361"/>
      <c r="HB12" s="361"/>
      <c r="HC12" s="361"/>
      <c r="HD12" s="361"/>
      <c r="HE12" s="361"/>
      <c r="HF12" s="361"/>
      <c r="HG12" s="361"/>
      <c r="HH12" s="361"/>
      <c r="HI12" s="361"/>
      <c r="HJ12" s="361"/>
      <c r="HK12" s="361"/>
      <c r="HL12" s="361"/>
      <c r="HM12" s="361"/>
      <c r="HN12" s="361"/>
      <c r="HO12" s="361"/>
      <c r="HP12" s="361"/>
      <c r="HQ12" s="361"/>
      <c r="HR12" s="361"/>
      <c r="HS12" s="361"/>
      <c r="HT12" s="361"/>
      <c r="HU12" s="361"/>
      <c r="HV12" s="361"/>
      <c r="HW12" s="361"/>
      <c r="HX12" s="361"/>
      <c r="HY12" s="361"/>
      <c r="HZ12" s="361"/>
      <c r="IA12" s="361"/>
      <c r="IB12" s="361"/>
      <c r="IC12" s="361"/>
      <c r="ID12" s="361"/>
      <c r="IE12" s="361"/>
      <c r="IF12" s="361"/>
      <c r="IG12" s="361"/>
      <c r="IH12" s="361"/>
      <c r="II12" s="361"/>
      <c r="IJ12" s="361"/>
      <c r="IK12" s="361"/>
      <c r="IL12" s="361"/>
      <c r="IM12" s="361"/>
      <c r="IN12" s="361"/>
      <c r="IO12" s="361"/>
      <c r="IP12" s="361"/>
      <c r="IQ12" s="361"/>
      <c r="IR12" s="361"/>
      <c r="IS12" s="361"/>
      <c r="IT12" s="361"/>
      <c r="IU12" s="361"/>
      <c r="IV12" s="361"/>
    </row>
    <row r="13" s="309" customFormat="1" ht="50.1" customHeight="1" spans="1:256">
      <c r="A13" s="332" t="s">
        <v>212</v>
      </c>
      <c r="B13" s="333">
        <v>3233</v>
      </c>
      <c r="C13" s="334">
        <v>1</v>
      </c>
      <c r="D13" s="335">
        <v>2</v>
      </c>
      <c r="E13" s="335">
        <v>316</v>
      </c>
      <c r="F13" s="334">
        <v>1</v>
      </c>
      <c r="G13" s="336">
        <f t="shared" si="1"/>
        <v>3194</v>
      </c>
      <c r="H13" s="336">
        <f t="shared" si="2"/>
        <v>1</v>
      </c>
      <c r="I13" s="336">
        <f t="shared" si="3"/>
        <v>3</v>
      </c>
      <c r="J13" s="336">
        <f t="shared" si="4"/>
        <v>293</v>
      </c>
      <c r="K13" s="347">
        <f t="shared" si="5"/>
        <v>5.27</v>
      </c>
      <c r="L13" s="347">
        <f t="shared" si="6"/>
        <v>0.11</v>
      </c>
      <c r="M13" s="347"/>
      <c r="N13" s="347">
        <f t="shared" si="7"/>
        <v>0.02</v>
      </c>
      <c r="O13" s="347"/>
      <c r="P13" s="348">
        <f t="shared" si="8"/>
        <v>0.42</v>
      </c>
      <c r="Q13" s="347">
        <f t="shared" si="9"/>
        <v>2.4</v>
      </c>
      <c r="R13" s="347">
        <f t="shared" si="10"/>
        <v>0.02</v>
      </c>
      <c r="S13" s="347">
        <f t="shared" si="11"/>
        <v>0.09</v>
      </c>
      <c r="T13" s="347">
        <f t="shared" si="12"/>
        <v>0.04</v>
      </c>
      <c r="U13" s="358">
        <f t="shared" si="13"/>
        <v>0.3</v>
      </c>
      <c r="V13" s="358">
        <f t="shared" si="14"/>
        <v>11.18</v>
      </c>
      <c r="W13" s="358">
        <f t="shared" si="15"/>
        <v>2.34</v>
      </c>
      <c r="X13" s="358">
        <f t="shared" si="16"/>
        <v>4.4</v>
      </c>
      <c r="Y13" s="358">
        <v>2</v>
      </c>
      <c r="Z13" s="346">
        <f t="shared" si="17"/>
        <v>28.59</v>
      </c>
      <c r="AA13" s="361"/>
      <c r="AB13" s="361"/>
      <c r="AC13" s="361"/>
      <c r="AD13" s="361"/>
      <c r="AE13" s="361"/>
      <c r="AF13" s="361"/>
      <c r="AG13" s="361"/>
      <c r="AH13" s="361"/>
      <c r="AI13" s="361"/>
      <c r="AJ13" s="361"/>
      <c r="AK13" s="361"/>
      <c r="AL13" s="361"/>
      <c r="AM13" s="361"/>
      <c r="AN13" s="361"/>
      <c r="AO13" s="361"/>
      <c r="AP13" s="361"/>
      <c r="AQ13" s="361"/>
      <c r="AR13" s="361"/>
      <c r="AS13" s="361"/>
      <c r="AT13" s="361"/>
      <c r="AU13" s="361"/>
      <c r="AV13" s="361"/>
      <c r="AW13" s="361"/>
      <c r="AX13" s="361"/>
      <c r="AY13" s="361"/>
      <c r="AZ13" s="361"/>
      <c r="BA13" s="361"/>
      <c r="BB13" s="361"/>
      <c r="BC13" s="361"/>
      <c r="BD13" s="361"/>
      <c r="BE13" s="361"/>
      <c r="BF13" s="361"/>
      <c r="BG13" s="361"/>
      <c r="BH13" s="361"/>
      <c r="BI13" s="361"/>
      <c r="BJ13" s="361"/>
      <c r="BK13" s="361"/>
      <c r="BL13" s="361"/>
      <c r="BM13" s="361"/>
      <c r="BN13" s="361"/>
      <c r="BO13" s="361"/>
      <c r="BP13" s="361"/>
      <c r="BQ13" s="361"/>
      <c r="BR13" s="361"/>
      <c r="BS13" s="361"/>
      <c r="BT13" s="361"/>
      <c r="BU13" s="361"/>
      <c r="BV13" s="361"/>
      <c r="BW13" s="361"/>
      <c r="BX13" s="361"/>
      <c r="BY13" s="361"/>
      <c r="BZ13" s="361"/>
      <c r="CA13" s="361"/>
      <c r="CB13" s="361"/>
      <c r="CC13" s="361"/>
      <c r="CD13" s="361"/>
      <c r="CE13" s="361"/>
      <c r="CF13" s="361"/>
      <c r="CG13" s="361"/>
      <c r="CH13" s="361"/>
      <c r="CI13" s="361"/>
      <c r="CJ13" s="361"/>
      <c r="CK13" s="361"/>
      <c r="CL13" s="361"/>
      <c r="CM13" s="361"/>
      <c r="CN13" s="361"/>
      <c r="CO13" s="361"/>
      <c r="CP13" s="361"/>
      <c r="CQ13" s="361"/>
      <c r="CR13" s="361"/>
      <c r="CS13" s="361"/>
      <c r="CT13" s="361"/>
      <c r="CU13" s="361"/>
      <c r="CV13" s="361"/>
      <c r="CW13" s="361"/>
      <c r="CX13" s="361"/>
      <c r="CY13" s="361"/>
      <c r="CZ13" s="361"/>
      <c r="DA13" s="361"/>
      <c r="DB13" s="361"/>
      <c r="DC13" s="361"/>
      <c r="DD13" s="361"/>
      <c r="DE13" s="361"/>
      <c r="DF13" s="361"/>
      <c r="DG13" s="361"/>
      <c r="DH13" s="361"/>
      <c r="DI13" s="361"/>
      <c r="DJ13" s="361"/>
      <c r="DK13" s="361"/>
      <c r="DL13" s="361"/>
      <c r="DM13" s="361"/>
      <c r="DN13" s="361"/>
      <c r="DO13" s="361"/>
      <c r="DP13" s="361"/>
      <c r="DQ13" s="361"/>
      <c r="DR13" s="361"/>
      <c r="DS13" s="361"/>
      <c r="DT13" s="361"/>
      <c r="DU13" s="361"/>
      <c r="DV13" s="361"/>
      <c r="DW13" s="361"/>
      <c r="DX13" s="361"/>
      <c r="DY13" s="361"/>
      <c r="DZ13" s="361"/>
      <c r="EA13" s="361"/>
      <c r="EB13" s="361"/>
      <c r="EC13" s="361"/>
      <c r="ED13" s="361"/>
      <c r="EE13" s="361"/>
      <c r="EF13" s="361"/>
      <c r="EG13" s="361"/>
      <c r="EH13" s="361"/>
      <c r="EI13" s="361"/>
      <c r="EJ13" s="361"/>
      <c r="EK13" s="361"/>
      <c r="EL13" s="361"/>
      <c r="EM13" s="361"/>
      <c r="EN13" s="361"/>
      <c r="EO13" s="361"/>
      <c r="EP13" s="361"/>
      <c r="EQ13" s="361"/>
      <c r="ER13" s="361"/>
      <c r="ES13" s="361"/>
      <c r="ET13" s="361"/>
      <c r="EU13" s="361"/>
      <c r="EV13" s="361"/>
      <c r="EW13" s="361"/>
      <c r="EX13" s="361"/>
      <c r="EY13" s="361"/>
      <c r="EZ13" s="361"/>
      <c r="FA13" s="361"/>
      <c r="FB13" s="361"/>
      <c r="FC13" s="361"/>
      <c r="FD13" s="361"/>
      <c r="FE13" s="361"/>
      <c r="FF13" s="361"/>
      <c r="FG13" s="361"/>
      <c r="FH13" s="361"/>
      <c r="FI13" s="361"/>
      <c r="FJ13" s="361"/>
      <c r="FK13" s="361"/>
      <c r="FL13" s="361"/>
      <c r="FM13" s="361"/>
      <c r="FN13" s="361"/>
      <c r="FO13" s="361"/>
      <c r="FP13" s="361"/>
      <c r="FQ13" s="361"/>
      <c r="FR13" s="361"/>
      <c r="FS13" s="361"/>
      <c r="FT13" s="361"/>
      <c r="FU13" s="361"/>
      <c r="FV13" s="361"/>
      <c r="FW13" s="361"/>
      <c r="FX13" s="361"/>
      <c r="FY13" s="361"/>
      <c r="FZ13" s="361"/>
      <c r="GA13" s="361"/>
      <c r="GB13" s="361"/>
      <c r="GC13" s="361"/>
      <c r="GD13" s="361"/>
      <c r="GE13" s="361"/>
      <c r="GF13" s="361"/>
      <c r="GG13" s="361"/>
      <c r="GH13" s="361"/>
      <c r="GI13" s="361"/>
      <c r="GJ13" s="361"/>
      <c r="GK13" s="361"/>
      <c r="GL13" s="361"/>
      <c r="GM13" s="361"/>
      <c r="GN13" s="361"/>
      <c r="GO13" s="361"/>
      <c r="GP13" s="361"/>
      <c r="GQ13" s="361"/>
      <c r="GR13" s="361"/>
      <c r="GS13" s="361"/>
      <c r="GT13" s="361"/>
      <c r="GU13" s="361"/>
      <c r="GV13" s="361"/>
      <c r="GW13" s="361"/>
      <c r="GX13" s="361"/>
      <c r="GY13" s="361"/>
      <c r="GZ13" s="361"/>
      <c r="HA13" s="361"/>
      <c r="HB13" s="361"/>
      <c r="HC13" s="361"/>
      <c r="HD13" s="361"/>
      <c r="HE13" s="361"/>
      <c r="HF13" s="361"/>
      <c r="HG13" s="361"/>
      <c r="HH13" s="361"/>
      <c r="HI13" s="361"/>
      <c r="HJ13" s="361"/>
      <c r="HK13" s="361"/>
      <c r="HL13" s="361"/>
      <c r="HM13" s="361"/>
      <c r="HN13" s="361"/>
      <c r="HO13" s="361"/>
      <c r="HP13" s="361"/>
      <c r="HQ13" s="361"/>
      <c r="HR13" s="361"/>
      <c r="HS13" s="361"/>
      <c r="HT13" s="361"/>
      <c r="HU13" s="361"/>
      <c r="HV13" s="361"/>
      <c r="HW13" s="361"/>
      <c r="HX13" s="361"/>
      <c r="HY13" s="361"/>
      <c r="HZ13" s="361"/>
      <c r="IA13" s="361"/>
      <c r="IB13" s="361"/>
      <c r="IC13" s="361"/>
      <c r="ID13" s="361"/>
      <c r="IE13" s="361"/>
      <c r="IF13" s="361"/>
      <c r="IG13" s="361"/>
      <c r="IH13" s="361"/>
      <c r="II13" s="361"/>
      <c r="IJ13" s="361"/>
      <c r="IK13" s="361"/>
      <c r="IL13" s="361"/>
      <c r="IM13" s="361"/>
      <c r="IN13" s="361"/>
      <c r="IO13" s="361"/>
      <c r="IP13" s="361"/>
      <c r="IQ13" s="361"/>
      <c r="IR13" s="361"/>
      <c r="IS13" s="361"/>
      <c r="IT13" s="361"/>
      <c r="IU13" s="361"/>
      <c r="IV13" s="361"/>
    </row>
    <row r="14" ht="339.95" customHeight="1" spans="1:26">
      <c r="A14" s="337" t="s">
        <v>213</v>
      </c>
      <c r="B14" s="337"/>
      <c r="C14" s="337"/>
      <c r="D14" s="337"/>
      <c r="E14" s="337"/>
      <c r="F14" s="337"/>
      <c r="G14" s="337"/>
      <c r="H14" s="337"/>
      <c r="I14" s="337"/>
      <c r="J14" s="337"/>
      <c r="K14" s="337"/>
      <c r="L14" s="337"/>
      <c r="M14" s="337"/>
      <c r="N14" s="337"/>
      <c r="O14" s="337"/>
      <c r="P14" s="337"/>
      <c r="Q14" s="337"/>
      <c r="R14" s="337"/>
      <c r="S14" s="337"/>
      <c r="T14" s="337"/>
      <c r="U14" s="337"/>
      <c r="V14" s="337"/>
      <c r="W14" s="337"/>
      <c r="X14" s="337"/>
      <c r="Y14" s="337"/>
      <c r="Z14" s="337"/>
    </row>
  </sheetData>
  <mergeCells count="11">
    <mergeCell ref="A1:B1"/>
    <mergeCell ref="A2:Z2"/>
    <mergeCell ref="Y3:Z3"/>
    <mergeCell ref="B4:J4"/>
    <mergeCell ref="K4:P4"/>
    <mergeCell ref="Q4:U4"/>
    <mergeCell ref="V4:X4"/>
    <mergeCell ref="A14:Z14"/>
    <mergeCell ref="A4:A6"/>
    <mergeCell ref="Y4:Y5"/>
    <mergeCell ref="Z4:Z6"/>
  </mergeCells>
  <printOptions horizontalCentered="1"/>
  <pageMargins left="0.511805555555556" right="0.357638888888889" top="0.590277777777778" bottom="0.409027777777778" header="0.5" footer="0.5"/>
  <pageSetup paperSize="9" scale="36"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10"/>
  <dimension ref="A1:D9"/>
  <sheetViews>
    <sheetView zoomScale="90" zoomScaleNormal="90" topLeftCell="A3" workbookViewId="0">
      <selection activeCell="E9" sqref="E9"/>
    </sheetView>
  </sheetViews>
  <sheetFormatPr defaultColWidth="9" defaultRowHeight="15.6" outlineLevelCol="3"/>
  <cols>
    <col min="1" max="1" width="14.125" style="298" customWidth="1"/>
    <col min="2" max="2" width="18.5" style="298" customWidth="1"/>
    <col min="3" max="3" width="18.75" style="299" customWidth="1"/>
    <col min="4" max="4" width="22.25" style="299" customWidth="1"/>
    <col min="5" max="5" width="12" style="298" customWidth="1"/>
    <col min="6" max="6" width="14" style="298" customWidth="1"/>
    <col min="7" max="7" width="15.5" style="298" customWidth="1"/>
    <col min="8" max="8" width="21.875" style="299" customWidth="1"/>
    <col min="9" max="16384" width="9" style="298"/>
  </cols>
  <sheetData>
    <row r="1" ht="30" customHeight="1" spans="1:2">
      <c r="A1" s="300" t="s">
        <v>178</v>
      </c>
      <c r="B1" s="300"/>
    </row>
    <row r="2" s="294" customFormat="1" ht="59.1" customHeight="1" spans="1:4">
      <c r="A2" s="301" t="s">
        <v>214</v>
      </c>
      <c r="B2" s="301"/>
      <c r="C2" s="301"/>
      <c r="D2" s="301"/>
    </row>
    <row r="3" s="295" customFormat="1" ht="63.95" customHeight="1" spans="1:4">
      <c r="A3" s="302" t="s">
        <v>215</v>
      </c>
      <c r="B3" s="302" t="s">
        <v>216</v>
      </c>
      <c r="C3" s="302" t="s">
        <v>217</v>
      </c>
      <c r="D3" s="302" t="s">
        <v>218</v>
      </c>
    </row>
    <row r="4" s="295" customFormat="1" ht="51" customHeight="1" spans="1:4">
      <c r="A4" s="303" t="s">
        <v>22</v>
      </c>
      <c r="B4" s="303">
        <f>B5+B6+B7</f>
        <v>2307</v>
      </c>
      <c r="C4" s="303">
        <v>223.54</v>
      </c>
      <c r="D4" s="238">
        <v>51.57</v>
      </c>
    </row>
    <row r="5" s="296" customFormat="1" ht="36.95" customHeight="1" spans="1:4">
      <c r="A5" s="304" t="s">
        <v>32</v>
      </c>
      <c r="B5" s="304">
        <f>1177-111</f>
        <v>1066</v>
      </c>
      <c r="C5" s="304">
        <v>223.54</v>
      </c>
      <c r="D5" s="253">
        <f t="shared" ref="D5:D7" si="0">B5*C5/10000</f>
        <v>23.829364</v>
      </c>
    </row>
    <row r="6" s="296" customFormat="1" ht="36.95" customHeight="1" spans="1:4">
      <c r="A6" s="304" t="s">
        <v>33</v>
      </c>
      <c r="B6" s="304">
        <f>564-111</f>
        <v>453</v>
      </c>
      <c r="C6" s="304">
        <v>223.54</v>
      </c>
      <c r="D6" s="253">
        <f t="shared" si="0"/>
        <v>10.126362</v>
      </c>
    </row>
    <row r="7" s="296" customFormat="1" ht="36.95" customHeight="1" spans="1:4">
      <c r="A7" s="304" t="s">
        <v>212</v>
      </c>
      <c r="B7" s="304">
        <f>899-111</f>
        <v>788</v>
      </c>
      <c r="C7" s="304">
        <v>223.54</v>
      </c>
      <c r="D7" s="253">
        <f t="shared" si="0"/>
        <v>17.614952</v>
      </c>
    </row>
    <row r="8" s="297" customFormat="1" ht="74.1" customHeight="1" spans="1:4">
      <c r="A8" s="305" t="s">
        <v>219</v>
      </c>
      <c r="B8" s="306"/>
      <c r="C8" s="306"/>
      <c r="D8" s="306"/>
    </row>
    <row r="9" ht="30" customHeight="1"/>
  </sheetData>
  <mergeCells count="3">
    <mergeCell ref="A1:B1"/>
    <mergeCell ref="A2:D2"/>
    <mergeCell ref="A8:D8"/>
  </mergeCells>
  <printOptions horizontalCentered="1"/>
  <pageMargins left="0.751388888888889" right="0.751388888888889" top="1.19652777777778"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r a n g e L i s t   s h e e t S t i d = " 5 "   m a s t e r = " " / > < r a n g e L i s t   s h e e t S t i d = " 3 "   m a s t e r = " " / > < r a n g e L i s t   s h e e t S t i d = " 4 "   m a s t e r = " " > < a r r U s e r I d   t i t l e = " :S�W1 _ 3 _ 3 "   r a n g e C r e a t o r = " "   o t h e r s A c c e s s P e r m i s s i o n = " e d i t " / > < / r a n g e L i s t > < r a n g e L i s t   s h e e t S t i d = " 2 2 "   m a s t e r = " " / > < r a n g e L i s t   s h e e t S t i d = " 2 3 "   m a s t e r = " " / > < r a n g e L i s t   s h e e t S t i d = " 2 1 "   m a s t e r = " " / > < r a n g e L i s t   s h e e t S t i d = " 8 "   m a s t e r = " " / > < r a n g e L i s t   s h e e t S t i d = " 7 "   m a s t e r = " " / > < r a n g e L i s t   s h e e t S t i d = " 1 2 "   m a s t e r = " " / > < r a n g e L i s t   s h e e t S t i d = " 9 "   m a s t e r = " " / > < r a n g e L i s t   s h e e t S t i d = " 1 0 "   m a s t e r = " " / > < r a n g e L i s t   s h e e t S t i d = " 1 1 "   m a s t e r = " " / > < r a n g e L i s t   s h e e t S t i d = " 1 3 "   m a s t e r = " " / > < r a n g e L i s t   s h e e t S t i d = " 2 0 "   m a s t e r = " " / > < r a n g e L i s t   s h e e t S t i d = " 1 4 "   m a s t e r = " " / > < r a n g e L i s t   s h e e t S t i d = " 1 9 "   m a s t e r = " " / > < r a n g e L i s t   s h e e t S t i d = " 1 5 "   m a s t e r = " " / > < r a n g e L i s t   s h e e t S t i d = " 1 6 "   m a s t e r = " " / > < r a n g e L i s t   s h e e t S t i d = " 1 7 "   m a s t e r = " " / > < r a n g e L i s t   s h e e t S t i d = " 1 8 " 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20</vt:i4>
      </vt:variant>
    </vt:vector>
  </HeadingPairs>
  <TitlesOfParts>
    <vt:vector size="20" baseType="lpstr">
      <vt:lpstr>表1 总表</vt:lpstr>
      <vt:lpstr>表2 扩大国家免疫规划</vt:lpstr>
      <vt:lpstr>表3 艾滋病防治</vt:lpstr>
      <vt:lpstr>表3-1 监测检测随访干预</vt:lpstr>
      <vt:lpstr>表3-2母婴阻断</vt:lpstr>
      <vt:lpstr>表3-3 血液安全 </vt:lpstr>
      <vt:lpstr>表3-4艾滋病健康教育</vt:lpstr>
      <vt:lpstr>表3-2 母婴阻断(未更新)</vt:lpstr>
      <vt:lpstr>表3-4婚前孕前保健(未更新)</vt:lpstr>
      <vt:lpstr>表4 结核病防控</vt:lpstr>
      <vt:lpstr>表5 精神卫生防治</vt:lpstr>
      <vt:lpstr>表6 慢性非传染性疾病防控</vt:lpstr>
      <vt:lpstr>表7 重点传染病及健康危害因素监测</vt:lpstr>
      <vt:lpstr>表7-1 成人烟草流行监测</vt:lpstr>
      <vt:lpstr>表7-2 食品安全风险监测评估 </vt:lpstr>
      <vt:lpstr>表7-3 居民健康素养监测</vt:lpstr>
      <vt:lpstr>表7-4  重点急性传染病防治项目</vt:lpstr>
      <vt:lpstr>表7-5麻风病监测</vt:lpstr>
      <vt:lpstr>表7-6 疟疾等其他寄生虫病监测项目</vt:lpstr>
      <vt:lpstr>表7-7 水和环境卫生、学校卫生和伤害监测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SL20191114</dc:creator>
  <cp:lastModifiedBy>叶海茵</cp:lastModifiedBy>
  <cp:revision>1</cp:revision>
  <dcterms:created xsi:type="dcterms:W3CDTF">2020-01-13T07:33:00Z</dcterms:created>
  <dcterms:modified xsi:type="dcterms:W3CDTF">2024-04-23T01:13:47Z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2052-11.8.6.8697</vt:lpwstr>
  </property>
  <property fmtid="{D5CDD505-2E9C-101B-9397-08002B2CF9AE}" pid="3" name="KSOReadingLayout">
    <vt:bool>false</vt:bool>
  </property>
  <property fmtid="{D5CDD505-2E9C-101B-9397-08002B2CF9AE}" pid="4" name="ICV">
    <vt:lpwstr>FF6529BF88D649A38C49F9F2D9786BE3_13</vt:lpwstr>
  </property>
</Properties>
</file>