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9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123321</author>
  </authors>
  <commentList>
    <comment ref="I10" authorId="0">
      <text>
        <r>
          <rPr>
            <b/>
            <sz val="9"/>
            <rFont val="Tahoma"/>
            <family val="2"/>
          </rPr>
          <t>123321: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冲减</t>
        </r>
        <r>
          <rPr>
            <sz val="9"/>
            <rFont val="Tahoma"/>
            <family val="2"/>
          </rPr>
          <t>30</t>
        </r>
        <r>
          <rPr>
            <sz val="9"/>
            <rFont val="宋体"/>
            <family val="0"/>
          </rPr>
          <t>号文多下达的</t>
        </r>
        <r>
          <rPr>
            <sz val="9"/>
            <rFont val="Tahoma"/>
            <family val="2"/>
          </rPr>
          <t>3000</t>
        </r>
        <r>
          <rPr>
            <sz val="9"/>
            <rFont val="宋体"/>
            <family val="0"/>
          </rPr>
          <t>元</t>
        </r>
      </text>
    </comment>
    <comment ref="Q12" authorId="0">
      <text>
        <r>
          <rPr>
            <b/>
            <sz val="9"/>
            <rFont val="Tahoma"/>
            <family val="2"/>
          </rPr>
          <t>123321: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补发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人</t>
        </r>
      </text>
    </comment>
    <comment ref="O12" authorId="0">
      <text>
        <r>
          <rPr>
            <b/>
            <sz val="9"/>
            <rFont val="Tahoma"/>
            <family val="2"/>
          </rPr>
          <t>123321: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含补发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人</t>
        </r>
      </text>
    </comment>
  </commentList>
</comments>
</file>

<file path=xl/sharedStrings.xml><?xml version="1.0" encoding="utf-8"?>
<sst xmlns="http://schemas.openxmlformats.org/spreadsheetml/2006/main" count="61" uniqueCount="37">
  <si>
    <t>清算下达以往年度及提前下达2019年建档立卡学生免学费和生活费省级补助资金明细表</t>
  </si>
  <si>
    <t>单位名称：云浮市教育局</t>
  </si>
  <si>
    <t>单位：元</t>
  </si>
  <si>
    <t>县(市、区)</t>
  </si>
  <si>
    <t>省级负担金额合计</t>
  </si>
  <si>
    <t>义务教育建档立卡</t>
  </si>
  <si>
    <t>普通高中建档立卡学生补助</t>
  </si>
  <si>
    <t>中职生活费</t>
  </si>
  <si>
    <t>高职建档立卡学生补助</t>
  </si>
  <si>
    <t>本科建档立卡学生补助</t>
  </si>
  <si>
    <t>研究生建档立卡学生补助</t>
  </si>
  <si>
    <t>本次实际下达资金</t>
  </si>
  <si>
    <t>小学</t>
  </si>
  <si>
    <t>初中</t>
  </si>
  <si>
    <t>免学费补助</t>
  </si>
  <si>
    <t>生活费补助</t>
  </si>
  <si>
    <t>建档立卡学生人数</t>
  </si>
  <si>
    <t>省级负担        金额</t>
  </si>
  <si>
    <t>学生    人数</t>
  </si>
  <si>
    <t>非建档立卡CD类</t>
  </si>
  <si>
    <t>省级负担金额</t>
  </si>
  <si>
    <t>云浮市合计</t>
  </si>
  <si>
    <t>1、市直学校</t>
  </si>
  <si>
    <t>其中：邓发纪念中学</t>
  </si>
  <si>
    <t xml:space="preserve">     云浮市特殊教育学校</t>
  </si>
  <si>
    <t xml:space="preserve">     罗定职业技术学院</t>
  </si>
  <si>
    <t xml:space="preserve">     市中专学校</t>
  </si>
  <si>
    <t xml:space="preserve">     新兴中药学校</t>
  </si>
  <si>
    <t xml:space="preserve">     邓发纪念中学（异地流动抵扣）</t>
  </si>
  <si>
    <t>待分配：市本级</t>
  </si>
  <si>
    <t>待抵扣：市本级</t>
  </si>
  <si>
    <t>2、云城区</t>
  </si>
  <si>
    <t>3、云安区</t>
  </si>
  <si>
    <t>4、郁南县</t>
  </si>
  <si>
    <t>5、罗定市</t>
  </si>
  <si>
    <t>6、新兴县</t>
  </si>
  <si>
    <t>注：根据粤财教[2018]366号、粤财教[2019]46号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</si>
</sst>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 ;[Red]\-0\ "/>
    <numFmt numFmtId="178" formatCode="#,##0_ ;[Red]\-#,##0\ "/>
    <numFmt numFmtId="179" formatCode="#,##0.00_ ;[Red]\-#,##0.00\ "/>
    <numFmt numFmtId="180" formatCode="#,##0_);[Red]\(#,##0\)"/>
    <numFmt numFmtId="181" formatCode="#,##0.00_);[Red]\(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2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18" fillId="0" borderId="0">
      <alignment vertical="center"/>
      <protection/>
    </xf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0" borderId="0">
      <alignment vertical="center"/>
      <protection/>
    </xf>
  </cellStyleXfs>
  <cellXfs count="10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177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9" fontId="7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 wrapText="1"/>
    </xf>
    <xf numFmtId="177" fontId="2" fillId="0" borderId="23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176" fontId="8" fillId="0" borderId="25" xfId="0" applyNumberFormat="1" applyFont="1" applyFill="1" applyBorder="1" applyAlignment="1">
      <alignment horizontal="right" vertical="center"/>
    </xf>
    <xf numFmtId="177" fontId="8" fillId="0" borderId="17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/>
    </xf>
    <xf numFmtId="176" fontId="8" fillId="0" borderId="27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 wrapText="1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 wrapText="1"/>
    </xf>
    <xf numFmtId="177" fontId="2" fillId="0" borderId="29" xfId="44" applyNumberFormat="1" applyFont="1" applyFill="1" applyBorder="1" applyAlignment="1">
      <alignment horizontal="right" vertical="center"/>
      <protection/>
    </xf>
    <xf numFmtId="0" fontId="9" fillId="0" borderId="28" xfId="0" applyFont="1" applyFill="1" applyBorder="1" applyAlignment="1">
      <alignment horizontal="left" vertical="center"/>
    </xf>
    <xf numFmtId="177" fontId="2" fillId="0" borderId="30" xfId="64" applyNumberFormat="1" applyFont="1" applyFill="1" applyBorder="1" applyAlignment="1">
      <alignment horizontal="right" vertical="center"/>
      <protection/>
    </xf>
    <xf numFmtId="0" fontId="9" fillId="0" borderId="1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177" fontId="2" fillId="0" borderId="23" xfId="64" applyNumberFormat="1" applyFont="1" applyFill="1" applyBorder="1" applyAlignment="1">
      <alignment horizontal="right" vertical="center"/>
      <protection/>
    </xf>
    <xf numFmtId="176" fontId="7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center" vertical="center" wrapText="1"/>
    </xf>
    <xf numFmtId="177" fontId="2" fillId="0" borderId="30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30" xfId="44" applyNumberFormat="1" applyFont="1" applyFill="1" applyBorder="1" applyAlignment="1">
      <alignment horizontal="right" vertical="center"/>
      <protection/>
    </xf>
    <xf numFmtId="176" fontId="2" fillId="0" borderId="30" xfId="0" applyNumberFormat="1" applyFont="1" applyFill="1" applyBorder="1" applyAlignment="1">
      <alignment vertical="center"/>
    </xf>
    <xf numFmtId="176" fontId="2" fillId="0" borderId="25" xfId="44" applyNumberFormat="1" applyFont="1" applyFill="1" applyBorder="1" applyAlignment="1">
      <alignment horizontal="right" vertical="center"/>
      <protection/>
    </xf>
    <xf numFmtId="176" fontId="2" fillId="0" borderId="2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9" fontId="8" fillId="0" borderId="23" xfId="0" applyNumberFormat="1" applyFont="1" applyFill="1" applyBorder="1" applyAlignment="1">
      <alignment horizontal="right" vertical="center"/>
    </xf>
    <xf numFmtId="176" fontId="2" fillId="0" borderId="23" xfId="44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76" fontId="8" fillId="0" borderId="32" xfId="0" applyNumberFormat="1" applyFont="1" applyFill="1" applyBorder="1" applyAlignment="1">
      <alignment horizontal="right" vertical="center"/>
    </xf>
    <xf numFmtId="177" fontId="8" fillId="0" borderId="30" xfId="0" applyNumberFormat="1" applyFont="1" applyFill="1" applyBorder="1" applyAlignment="1">
      <alignment horizontal="right" vertical="center"/>
    </xf>
    <xf numFmtId="176" fontId="8" fillId="0" borderId="30" xfId="0" applyNumberFormat="1" applyFont="1" applyFill="1" applyBorder="1" applyAlignment="1">
      <alignment horizontal="right" vertical="center"/>
    </xf>
    <xf numFmtId="180" fontId="8" fillId="0" borderId="30" xfId="0" applyNumberFormat="1" applyFont="1" applyFill="1" applyBorder="1" applyAlignment="1">
      <alignment horizontal="right" vertical="center"/>
    </xf>
    <xf numFmtId="181" fontId="8" fillId="0" borderId="30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80" fontId="2" fillId="0" borderId="30" xfId="0" applyNumberFormat="1" applyFont="1" applyFill="1" applyBorder="1" applyAlignment="1">
      <alignment horizontal="right" vertical="center"/>
    </xf>
    <xf numFmtId="181" fontId="2" fillId="0" borderId="30" xfId="0" applyNumberFormat="1" applyFont="1" applyFill="1" applyBorder="1" applyAlignment="1">
      <alignment horizontal="right" vertical="center"/>
    </xf>
    <xf numFmtId="180" fontId="8" fillId="0" borderId="30" xfId="0" applyNumberFormat="1" applyFont="1" applyFill="1" applyBorder="1" applyAlignment="1">
      <alignment vertical="center"/>
    </xf>
    <xf numFmtId="181" fontId="8" fillId="0" borderId="30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vertical="center"/>
    </xf>
    <xf numFmtId="181" fontId="2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81" fontId="4" fillId="0" borderId="30" xfId="0" applyNumberFormat="1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城乡_10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城乡_1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90" zoomScaleNormal="90" zoomScaleSheetLayoutView="100" workbookViewId="0" topLeftCell="A1">
      <pane xSplit="2" ySplit="7" topLeftCell="C8" activePane="bottomRight" state="frozen"/>
      <selection pane="bottomRight" activeCell="I21" sqref="I21"/>
    </sheetView>
  </sheetViews>
  <sheetFormatPr defaultColWidth="8.875" defaultRowHeight="24.75" customHeight="1"/>
  <cols>
    <col min="1" max="1" width="16.75390625" style="5" customWidth="1"/>
    <col min="2" max="2" width="12.375" style="6" customWidth="1"/>
    <col min="3" max="3" width="7.625" style="7" customWidth="1"/>
    <col min="4" max="4" width="10.625" style="6" customWidth="1"/>
    <col min="5" max="5" width="8.00390625" style="7" customWidth="1"/>
    <col min="6" max="6" width="9.50390625" style="6" customWidth="1"/>
    <col min="7" max="7" width="5.875" style="7" customWidth="1"/>
    <col min="8" max="8" width="6.875" style="8" customWidth="1"/>
    <col min="9" max="9" width="11.00390625" style="9" customWidth="1"/>
    <col min="10" max="10" width="6.50390625" style="7" customWidth="1"/>
    <col min="11" max="11" width="10.00390625" style="6" customWidth="1"/>
    <col min="12" max="12" width="5.25390625" style="7" customWidth="1"/>
    <col min="13" max="13" width="10.00390625" style="6" customWidth="1"/>
    <col min="14" max="14" width="5.75390625" style="7" customWidth="1"/>
    <col min="15" max="15" width="12.375" style="6" customWidth="1"/>
    <col min="16" max="16" width="6.75390625" style="7" customWidth="1"/>
    <col min="17" max="17" width="9.875" style="6" customWidth="1"/>
    <col min="18" max="18" width="8.125" style="7" customWidth="1"/>
    <col min="19" max="19" width="10.625" style="6" customWidth="1"/>
    <col min="20" max="20" width="6.25390625" style="7" customWidth="1"/>
    <col min="21" max="21" width="9.50390625" style="6" customWidth="1"/>
    <col min="22" max="22" width="6.25390625" style="5" hidden="1" customWidth="1"/>
    <col min="23" max="23" width="8.50390625" style="5" hidden="1" customWidth="1"/>
    <col min="24" max="25" width="7.50390625" style="5" hidden="1" customWidth="1"/>
    <col min="26" max="26" width="16.75390625" style="5" hidden="1" customWidth="1"/>
    <col min="27" max="32" width="9.00390625" style="5" bestFit="1" customWidth="1"/>
    <col min="33" max="16384" width="8.875" style="5" customWidth="1"/>
  </cols>
  <sheetData>
    <row r="1" spans="1:17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9" ht="7.5" customHeight="1">
      <c r="A2" s="11"/>
      <c r="B2" s="12"/>
      <c r="C2" s="13"/>
      <c r="D2" s="12"/>
      <c r="E2" s="13"/>
      <c r="F2" s="12"/>
      <c r="G2" s="13"/>
      <c r="H2" s="13"/>
      <c r="I2" s="12"/>
    </row>
    <row r="3" spans="1:25" ht="18" customHeight="1">
      <c r="A3" s="14" t="s">
        <v>1</v>
      </c>
      <c r="G3" s="14"/>
      <c r="H3" s="15"/>
      <c r="I3" s="55"/>
      <c r="N3" s="56"/>
      <c r="O3" s="57"/>
      <c r="P3" s="56"/>
      <c r="Q3" s="57"/>
      <c r="R3" s="56"/>
      <c r="S3" s="57"/>
      <c r="T3" s="56"/>
      <c r="U3" s="57"/>
      <c r="V3" s="71"/>
      <c r="W3" s="71" t="s">
        <v>2</v>
      </c>
      <c r="X3" s="71"/>
      <c r="Y3" s="71"/>
    </row>
    <row r="4" spans="1:26" s="1" customFormat="1" ht="24" customHeight="1">
      <c r="A4" s="16" t="s">
        <v>3</v>
      </c>
      <c r="B4" s="17" t="s">
        <v>4</v>
      </c>
      <c r="C4" s="18" t="s">
        <v>5</v>
      </c>
      <c r="D4" s="19"/>
      <c r="E4" s="19"/>
      <c r="F4" s="20"/>
      <c r="G4" s="21" t="s">
        <v>6</v>
      </c>
      <c r="H4" s="21"/>
      <c r="I4" s="21"/>
      <c r="J4" s="21"/>
      <c r="K4" s="21"/>
      <c r="L4" s="21" t="s">
        <v>7</v>
      </c>
      <c r="M4" s="18"/>
      <c r="N4" s="21" t="s">
        <v>8</v>
      </c>
      <c r="O4" s="21"/>
      <c r="P4" s="21"/>
      <c r="Q4" s="18"/>
      <c r="R4" s="72" t="s">
        <v>9</v>
      </c>
      <c r="S4" s="72"/>
      <c r="T4" s="72"/>
      <c r="U4" s="72"/>
      <c r="V4" s="72" t="s">
        <v>10</v>
      </c>
      <c r="W4" s="72"/>
      <c r="X4" s="72"/>
      <c r="Y4" s="72"/>
      <c r="Z4" s="96" t="s">
        <v>11</v>
      </c>
    </row>
    <row r="5" spans="1:26" s="2" customFormat="1" ht="15.75" customHeight="1">
      <c r="A5" s="22"/>
      <c r="B5" s="23"/>
      <c r="C5" s="24" t="s">
        <v>12</v>
      </c>
      <c r="D5" s="25"/>
      <c r="E5" s="24" t="s">
        <v>13</v>
      </c>
      <c r="F5" s="25"/>
      <c r="G5" s="24" t="s">
        <v>14</v>
      </c>
      <c r="H5" s="26"/>
      <c r="I5" s="25"/>
      <c r="J5" s="58" t="s">
        <v>15</v>
      </c>
      <c r="K5" s="58"/>
      <c r="L5" s="59" t="s">
        <v>16</v>
      </c>
      <c r="M5" s="60" t="s">
        <v>17</v>
      </c>
      <c r="N5" s="58" t="s">
        <v>14</v>
      </c>
      <c r="O5" s="58"/>
      <c r="P5" s="58" t="s">
        <v>15</v>
      </c>
      <c r="Q5" s="24"/>
      <c r="R5" s="58" t="s">
        <v>14</v>
      </c>
      <c r="S5" s="58"/>
      <c r="T5" s="58" t="s">
        <v>15</v>
      </c>
      <c r="U5" s="58"/>
      <c r="V5" s="58" t="s">
        <v>14</v>
      </c>
      <c r="W5" s="58"/>
      <c r="X5" s="58" t="s">
        <v>15</v>
      </c>
      <c r="Y5" s="58"/>
      <c r="Z5" s="97"/>
    </row>
    <row r="6" spans="1:26" s="2" customFormat="1" ht="45" customHeight="1">
      <c r="A6" s="27"/>
      <c r="B6" s="28"/>
      <c r="C6" s="29" t="s">
        <v>18</v>
      </c>
      <c r="D6" s="30" t="s">
        <v>17</v>
      </c>
      <c r="E6" s="29" t="s">
        <v>18</v>
      </c>
      <c r="F6" s="30" t="s">
        <v>17</v>
      </c>
      <c r="G6" s="29" t="s">
        <v>16</v>
      </c>
      <c r="H6" s="29" t="s">
        <v>19</v>
      </c>
      <c r="I6" s="30" t="s">
        <v>17</v>
      </c>
      <c r="J6" s="29" t="s">
        <v>16</v>
      </c>
      <c r="K6" s="30" t="s">
        <v>20</v>
      </c>
      <c r="L6" s="29"/>
      <c r="M6" s="30"/>
      <c r="N6" s="29" t="s">
        <v>16</v>
      </c>
      <c r="O6" s="30" t="s">
        <v>17</v>
      </c>
      <c r="P6" s="29" t="s">
        <v>16</v>
      </c>
      <c r="Q6" s="73" t="s">
        <v>17</v>
      </c>
      <c r="R6" s="59" t="s">
        <v>16</v>
      </c>
      <c r="S6" s="60" t="s">
        <v>17</v>
      </c>
      <c r="T6" s="59" t="s">
        <v>16</v>
      </c>
      <c r="U6" s="60" t="s">
        <v>17</v>
      </c>
      <c r="V6" s="74" t="s">
        <v>16</v>
      </c>
      <c r="W6" s="75" t="s">
        <v>17</v>
      </c>
      <c r="X6" s="74" t="s">
        <v>16</v>
      </c>
      <c r="Y6" s="75" t="s">
        <v>17</v>
      </c>
      <c r="Z6" s="98"/>
    </row>
    <row r="7" spans="1:26" s="3" customFormat="1" ht="28.5" customHeight="1">
      <c r="A7" s="31" t="s">
        <v>21</v>
      </c>
      <c r="B7" s="32">
        <f>B9+B18+B19+B20+B21+B22+B16+B17</f>
        <v>2575200</v>
      </c>
      <c r="C7" s="33">
        <f aca="true" t="shared" si="0" ref="C7:Q7">C9+C18+C19+C20+C21+C22</f>
        <v>10</v>
      </c>
      <c r="D7" s="34">
        <f t="shared" si="0"/>
        <v>20400</v>
      </c>
      <c r="E7" s="33">
        <f t="shared" si="0"/>
        <v>2</v>
      </c>
      <c r="F7" s="34">
        <f t="shared" si="0"/>
        <v>7800</v>
      </c>
      <c r="G7" s="33">
        <f t="shared" si="0"/>
        <v>90</v>
      </c>
      <c r="H7" s="33">
        <f t="shared" si="0"/>
        <v>4</v>
      </c>
      <c r="I7" s="34">
        <f t="shared" si="0"/>
        <v>169000</v>
      </c>
      <c r="J7" s="33">
        <f t="shared" si="0"/>
        <v>-1</v>
      </c>
      <c r="K7" s="34">
        <f t="shared" si="0"/>
        <v>-1800</v>
      </c>
      <c r="L7" s="33">
        <f t="shared" si="0"/>
        <v>10</v>
      </c>
      <c r="M7" s="34">
        <f t="shared" si="0"/>
        <v>28800</v>
      </c>
      <c r="N7" s="33">
        <f t="shared" si="0"/>
        <v>369</v>
      </c>
      <c r="O7" s="34">
        <f t="shared" si="0"/>
        <v>2250000</v>
      </c>
      <c r="P7" s="33">
        <f t="shared" si="0"/>
        <v>12</v>
      </c>
      <c r="Q7" s="76">
        <f t="shared" si="0"/>
        <v>65800</v>
      </c>
      <c r="R7" s="77">
        <f aca="true" t="shared" si="1" ref="R7:Y7">R9+R18+R19+R20+R21+R22</f>
        <v>-16</v>
      </c>
      <c r="S7" s="78">
        <f t="shared" si="1"/>
        <v>-32000</v>
      </c>
      <c r="T7" s="77">
        <f t="shared" si="1"/>
        <v>16</v>
      </c>
      <c r="U7" s="78">
        <f t="shared" si="1"/>
        <v>67200</v>
      </c>
      <c r="V7" s="79">
        <f t="shared" si="1"/>
        <v>0</v>
      </c>
      <c r="W7" s="80">
        <f t="shared" si="1"/>
        <v>0</v>
      </c>
      <c r="X7" s="79">
        <f t="shared" si="1"/>
        <v>0</v>
      </c>
      <c r="Y7" s="80">
        <f t="shared" si="1"/>
        <v>0</v>
      </c>
      <c r="Z7" s="99"/>
    </row>
    <row r="8" spans="1:26" s="4" customFormat="1" ht="24" customHeight="1">
      <c r="A8" s="31"/>
      <c r="B8" s="32"/>
      <c r="C8" s="35"/>
      <c r="D8" s="36"/>
      <c r="E8" s="35"/>
      <c r="F8" s="36"/>
      <c r="G8" s="35"/>
      <c r="H8" s="35"/>
      <c r="I8" s="36"/>
      <c r="J8" s="35"/>
      <c r="K8" s="36"/>
      <c r="L8" s="35"/>
      <c r="M8" s="36"/>
      <c r="N8" s="35"/>
      <c r="O8" s="36"/>
      <c r="P8" s="35"/>
      <c r="Q8" s="81"/>
      <c r="R8" s="45"/>
      <c r="S8" s="46"/>
      <c r="T8" s="45"/>
      <c r="U8" s="46"/>
      <c r="V8" s="82"/>
      <c r="W8" s="83"/>
      <c r="X8" s="82"/>
      <c r="Y8" s="83"/>
      <c r="Z8" s="100"/>
    </row>
    <row r="9" spans="1:26" s="4" customFormat="1" ht="24" customHeight="1">
      <c r="A9" s="37" t="s">
        <v>22</v>
      </c>
      <c r="B9" s="38">
        <f>SUM(B10:B15)</f>
        <v>2491200</v>
      </c>
      <c r="C9" s="39">
        <f>SUM(C10:C15)</f>
        <v>14</v>
      </c>
      <c r="D9" s="38">
        <f aca="true" t="shared" si="2" ref="D9:U9">SUM(D10:D15)</f>
        <v>25200</v>
      </c>
      <c r="E9" s="39">
        <f t="shared" si="2"/>
        <v>0</v>
      </c>
      <c r="F9" s="38">
        <f t="shared" si="2"/>
        <v>600</v>
      </c>
      <c r="G9" s="39">
        <f t="shared" si="2"/>
        <v>45</v>
      </c>
      <c r="H9" s="39">
        <f t="shared" si="2"/>
        <v>4</v>
      </c>
      <c r="I9" s="38">
        <f t="shared" si="2"/>
        <v>169000</v>
      </c>
      <c r="J9" s="39">
        <f t="shared" si="2"/>
        <v>-1</v>
      </c>
      <c r="K9" s="38">
        <f t="shared" si="2"/>
        <v>-1800</v>
      </c>
      <c r="L9" s="39">
        <f t="shared" si="2"/>
        <v>10</v>
      </c>
      <c r="M9" s="38">
        <f t="shared" si="2"/>
        <v>28800</v>
      </c>
      <c r="N9" s="39">
        <f t="shared" si="2"/>
        <v>370</v>
      </c>
      <c r="O9" s="38">
        <f t="shared" si="2"/>
        <v>2254000</v>
      </c>
      <c r="P9" s="39">
        <f t="shared" si="2"/>
        <v>6</v>
      </c>
      <c r="Q9" s="38">
        <f t="shared" si="2"/>
        <v>15400</v>
      </c>
      <c r="R9" s="39">
        <f t="shared" si="2"/>
        <v>0</v>
      </c>
      <c r="S9" s="38">
        <f t="shared" si="2"/>
        <v>0</v>
      </c>
      <c r="T9" s="39">
        <f t="shared" si="2"/>
        <v>0</v>
      </c>
      <c r="U9" s="38">
        <f t="shared" si="2"/>
        <v>0</v>
      </c>
      <c r="V9" s="84">
        <f>SUM(V10:V14)</f>
        <v>0</v>
      </c>
      <c r="W9" s="85">
        <f>SUM(W10:W14)</f>
        <v>0</v>
      </c>
      <c r="X9" s="84">
        <f>SUM(X10:X14)</f>
        <v>0</v>
      </c>
      <c r="Y9" s="85">
        <f>SUM(Y10:Y14)</f>
        <v>0</v>
      </c>
      <c r="Z9" s="100"/>
    </row>
    <row r="10" spans="1:26" s="4" customFormat="1" ht="24" customHeight="1">
      <c r="A10" s="40" t="s">
        <v>23</v>
      </c>
      <c r="B10" s="41">
        <f aca="true" t="shared" si="3" ref="B10:B22">D10+F10+I10+K10+M10+O10+Q10+S10+U10+W10+Y10</f>
        <v>170000</v>
      </c>
      <c r="C10" s="42"/>
      <c r="D10" s="43"/>
      <c r="E10" s="42"/>
      <c r="F10" s="43"/>
      <c r="G10" s="42">
        <v>45</v>
      </c>
      <c r="H10" s="42">
        <v>5</v>
      </c>
      <c r="I10" s="43">
        <f>(45+5)*2500*0.6+(45+4)*2500*0.4*2-3000</f>
        <v>170000</v>
      </c>
      <c r="J10" s="42"/>
      <c r="K10" s="43"/>
      <c r="L10" s="42"/>
      <c r="M10" s="43"/>
      <c r="N10" s="42"/>
      <c r="O10" s="43"/>
      <c r="P10" s="42"/>
      <c r="Q10" s="86"/>
      <c r="R10" s="45"/>
      <c r="S10" s="46"/>
      <c r="T10" s="45"/>
      <c r="U10" s="87"/>
      <c r="V10" s="82"/>
      <c r="W10" s="83"/>
      <c r="X10" s="82"/>
      <c r="Y10" s="101"/>
      <c r="Z10" s="100"/>
    </row>
    <row r="11" spans="1:26" s="4" customFormat="1" ht="24" customHeight="1">
      <c r="A11" s="44" t="s">
        <v>24</v>
      </c>
      <c r="B11" s="41">
        <f t="shared" si="3"/>
        <v>27000</v>
      </c>
      <c r="C11" s="45">
        <f>2+12</f>
        <v>14</v>
      </c>
      <c r="D11" s="46">
        <f>C11*3000*0.6</f>
        <v>25200</v>
      </c>
      <c r="E11" s="45">
        <v>1</v>
      </c>
      <c r="F11" s="46">
        <f>E11*3000*0.6</f>
        <v>1800</v>
      </c>
      <c r="G11" s="45"/>
      <c r="H11" s="45"/>
      <c r="I11" s="61"/>
      <c r="J11" s="45"/>
      <c r="K11" s="62"/>
      <c r="L11" s="45"/>
      <c r="M11" s="46"/>
      <c r="N11" s="45"/>
      <c r="O11" s="46"/>
      <c r="P11" s="45"/>
      <c r="Q11" s="88"/>
      <c r="R11" s="45"/>
      <c r="S11" s="46"/>
      <c r="T11" s="45"/>
      <c r="U11" s="87"/>
      <c r="V11" s="82"/>
      <c r="W11" s="83"/>
      <c r="X11" s="82"/>
      <c r="Y11" s="101"/>
      <c r="Z11" s="100"/>
    </row>
    <row r="12" spans="1:26" s="4" customFormat="1" ht="24" customHeight="1">
      <c r="A12" s="44" t="s">
        <v>25</v>
      </c>
      <c r="B12" s="41">
        <f t="shared" si="3"/>
        <v>2281400</v>
      </c>
      <c r="C12" s="45"/>
      <c r="D12" s="46"/>
      <c r="E12" s="45"/>
      <c r="F12" s="46"/>
      <c r="G12" s="45"/>
      <c r="H12" s="45"/>
      <c r="I12" s="61"/>
      <c r="J12" s="45"/>
      <c r="K12" s="62"/>
      <c r="L12" s="45"/>
      <c r="M12" s="46"/>
      <c r="N12" s="45">
        <f>365+1+2+5</f>
        <v>373</v>
      </c>
      <c r="O12" s="46">
        <f>365*5000*2+5000-1425000+36000</f>
        <v>2266000</v>
      </c>
      <c r="P12" s="45">
        <f>1+2</f>
        <v>3</v>
      </c>
      <c r="Q12" s="89">
        <f>7000+8400</f>
        <v>15400</v>
      </c>
      <c r="R12" s="45"/>
      <c r="S12" s="46"/>
      <c r="T12" s="45"/>
      <c r="U12" s="62"/>
      <c r="V12" s="82"/>
      <c r="W12" s="83"/>
      <c r="X12" s="82"/>
      <c r="Y12" s="92"/>
      <c r="Z12" s="100"/>
    </row>
    <row r="13" spans="1:26" s="4" customFormat="1" ht="24" customHeight="1">
      <c r="A13" s="44" t="s">
        <v>26</v>
      </c>
      <c r="B13" s="41">
        <f t="shared" si="3"/>
        <v>0</v>
      </c>
      <c r="C13" s="35"/>
      <c r="D13" s="36"/>
      <c r="E13" s="35"/>
      <c r="F13" s="36"/>
      <c r="G13" s="35"/>
      <c r="H13" s="35"/>
      <c r="I13" s="63"/>
      <c r="J13" s="35"/>
      <c r="K13" s="64"/>
      <c r="L13" s="35"/>
      <c r="M13" s="36"/>
      <c r="N13" s="35"/>
      <c r="O13" s="36"/>
      <c r="P13" s="65"/>
      <c r="Q13" s="90"/>
      <c r="R13" s="45"/>
      <c r="S13" s="46"/>
      <c r="T13" s="91"/>
      <c r="U13" s="87"/>
      <c r="V13" s="83"/>
      <c r="W13" s="83"/>
      <c r="X13" s="92"/>
      <c r="Y13" s="101"/>
      <c r="Z13" s="100"/>
    </row>
    <row r="14" spans="1:26" s="4" customFormat="1" ht="24" customHeight="1">
      <c r="A14" s="44" t="s">
        <v>27</v>
      </c>
      <c r="B14" s="41">
        <f t="shared" si="3"/>
        <v>28800</v>
      </c>
      <c r="C14" s="47"/>
      <c r="D14" s="41"/>
      <c r="E14" s="47"/>
      <c r="F14" s="41"/>
      <c r="G14" s="47"/>
      <c r="H14" s="47"/>
      <c r="I14" s="41"/>
      <c r="J14" s="47"/>
      <c r="K14" s="66"/>
      <c r="L14" s="35">
        <v>10</v>
      </c>
      <c r="M14" s="36">
        <f>L14*3000*0.6+(10-1)*3000*0.4</f>
        <v>28800</v>
      </c>
      <c r="N14" s="47"/>
      <c r="O14" s="41"/>
      <c r="P14" s="67"/>
      <c r="Q14" s="93"/>
      <c r="R14" s="45"/>
      <c r="S14" s="46"/>
      <c r="T14" s="91"/>
      <c r="U14" s="87"/>
      <c r="V14" s="83"/>
      <c r="W14" s="83"/>
      <c r="X14" s="92"/>
      <c r="Y14" s="101"/>
      <c r="Z14" s="100"/>
    </row>
    <row r="15" spans="1:26" s="4" customFormat="1" ht="24" customHeight="1">
      <c r="A15" s="44" t="s">
        <v>28</v>
      </c>
      <c r="B15" s="41">
        <f t="shared" si="3"/>
        <v>-16000</v>
      </c>
      <c r="C15" s="47"/>
      <c r="D15" s="41"/>
      <c r="E15" s="47">
        <v>-1</v>
      </c>
      <c r="F15" s="41">
        <f>E15*3000*0.4</f>
        <v>-1200</v>
      </c>
      <c r="G15" s="47"/>
      <c r="H15" s="47">
        <f>0-1</f>
        <v>-1</v>
      </c>
      <c r="I15" s="41">
        <f>H15*2500*0.4</f>
        <v>-1000</v>
      </c>
      <c r="J15" s="47">
        <f>0-1</f>
        <v>-1</v>
      </c>
      <c r="K15" s="41">
        <f>J15*3000*0.6</f>
        <v>-1800</v>
      </c>
      <c r="L15" s="47"/>
      <c r="M15" s="41"/>
      <c r="N15" s="68">
        <f>0-3</f>
        <v>-3</v>
      </c>
      <c r="O15" s="69">
        <f>N15*5000*0.4*2</f>
        <v>-12000</v>
      </c>
      <c r="P15" s="47">
        <v>3</v>
      </c>
      <c r="Q15" s="93">
        <f>P15*7000*0.6-25200+12600</f>
        <v>0</v>
      </c>
      <c r="R15" s="45"/>
      <c r="S15" s="46"/>
      <c r="T15" s="91"/>
      <c r="U15" s="87"/>
      <c r="V15" s="83"/>
      <c r="W15" s="83"/>
      <c r="X15" s="92"/>
      <c r="Y15" s="101"/>
      <c r="Z15" s="100"/>
    </row>
    <row r="16" spans="1:26" s="4" customFormat="1" ht="24" customHeight="1" hidden="1">
      <c r="A16" s="48" t="s">
        <v>29</v>
      </c>
      <c r="B16" s="41">
        <f t="shared" si="3"/>
        <v>0</v>
      </c>
      <c r="C16" s="47"/>
      <c r="D16" s="41"/>
      <c r="E16" s="47"/>
      <c r="F16" s="41"/>
      <c r="G16" s="42"/>
      <c r="H16" s="49"/>
      <c r="I16" s="43"/>
      <c r="J16" s="42"/>
      <c r="K16" s="43"/>
      <c r="L16" s="51"/>
      <c r="M16" s="46"/>
      <c r="N16" s="42"/>
      <c r="O16" s="43"/>
      <c r="P16" s="42"/>
      <c r="Q16" s="43"/>
      <c r="R16" s="45"/>
      <c r="S16" s="46"/>
      <c r="T16" s="91"/>
      <c r="U16" s="87"/>
      <c r="V16" s="83"/>
      <c r="W16" s="83"/>
      <c r="X16" s="92"/>
      <c r="Y16" s="101"/>
      <c r="Z16" s="100"/>
    </row>
    <row r="17" spans="1:26" s="4" customFormat="1" ht="24" customHeight="1" hidden="1">
      <c r="A17" s="48" t="s">
        <v>30</v>
      </c>
      <c r="B17" s="41">
        <f t="shared" si="3"/>
        <v>0</v>
      </c>
      <c r="C17" s="47"/>
      <c r="D17" s="41"/>
      <c r="E17" s="47"/>
      <c r="F17" s="41"/>
      <c r="G17" s="42"/>
      <c r="H17" s="49"/>
      <c r="I17" s="43"/>
      <c r="J17" s="42"/>
      <c r="K17" s="43"/>
      <c r="L17" s="51"/>
      <c r="M17" s="46"/>
      <c r="N17" s="42"/>
      <c r="O17" s="43"/>
      <c r="P17" s="42"/>
      <c r="Q17" s="43"/>
      <c r="R17" s="45"/>
      <c r="S17" s="46"/>
      <c r="T17" s="91"/>
      <c r="U17" s="87"/>
      <c r="V17" s="83"/>
      <c r="W17" s="83"/>
      <c r="X17" s="92"/>
      <c r="Y17" s="101"/>
      <c r="Z17" s="100"/>
    </row>
    <row r="18" spans="1:26" s="4" customFormat="1" ht="24" customHeight="1">
      <c r="A18" s="50" t="s">
        <v>31</v>
      </c>
      <c r="B18" s="41">
        <f t="shared" si="3"/>
        <v>49200</v>
      </c>
      <c r="C18" s="49"/>
      <c r="D18" s="43"/>
      <c r="E18" s="51">
        <v>2</v>
      </c>
      <c r="F18" s="43">
        <f>E18*3000*0.6*2</f>
        <v>7200</v>
      </c>
      <c r="G18" s="42">
        <v>21</v>
      </c>
      <c r="H18" s="49"/>
      <c r="I18" s="43"/>
      <c r="J18" s="42"/>
      <c r="K18" s="43"/>
      <c r="L18" s="49"/>
      <c r="M18" s="43"/>
      <c r="N18" s="42"/>
      <c r="O18" s="43"/>
      <c r="P18" s="42">
        <v>5</v>
      </c>
      <c r="Q18" s="94">
        <f>P18*7000*0.6*2</f>
        <v>42000</v>
      </c>
      <c r="R18" s="45"/>
      <c r="S18" s="46"/>
      <c r="T18" s="45"/>
      <c r="U18" s="62"/>
      <c r="V18" s="82"/>
      <c r="W18" s="83"/>
      <c r="X18" s="82"/>
      <c r="Y18" s="92"/>
      <c r="Z18" s="100"/>
    </row>
    <row r="19" spans="1:26" s="4" customFormat="1" ht="24" customHeight="1">
      <c r="A19" s="52" t="s">
        <v>32</v>
      </c>
      <c r="B19" s="41">
        <f t="shared" si="3"/>
        <v>1000</v>
      </c>
      <c r="C19" s="51">
        <v>-1</v>
      </c>
      <c r="D19" s="41">
        <f>C19*3000*0.4</f>
        <v>-1200</v>
      </c>
      <c r="E19" s="51"/>
      <c r="F19" s="43"/>
      <c r="G19" s="45">
        <v>16</v>
      </c>
      <c r="H19" s="51"/>
      <c r="I19" s="43"/>
      <c r="J19" s="45"/>
      <c r="K19" s="43"/>
      <c r="L19" s="51"/>
      <c r="M19" s="46"/>
      <c r="N19" s="45"/>
      <c r="O19" s="46"/>
      <c r="P19" s="45"/>
      <c r="Q19" s="89"/>
      <c r="R19" s="45">
        <v>-1</v>
      </c>
      <c r="S19" s="46">
        <f>R19*5000*0.4</f>
        <v>-2000</v>
      </c>
      <c r="T19" s="45">
        <v>1</v>
      </c>
      <c r="U19" s="87">
        <f>T19*7000*0.6</f>
        <v>4200</v>
      </c>
      <c r="V19" s="82"/>
      <c r="W19" s="83"/>
      <c r="X19" s="82"/>
      <c r="Y19" s="92"/>
      <c r="Z19" s="100"/>
    </row>
    <row r="20" spans="1:26" s="4" customFormat="1" ht="24" customHeight="1">
      <c r="A20" s="52" t="s">
        <v>33</v>
      </c>
      <c r="B20" s="41">
        <f t="shared" si="3"/>
        <v>8800</v>
      </c>
      <c r="C20" s="51"/>
      <c r="D20" s="43"/>
      <c r="E20" s="51"/>
      <c r="F20" s="43"/>
      <c r="G20" s="45">
        <v>6</v>
      </c>
      <c r="H20" s="51"/>
      <c r="I20" s="43"/>
      <c r="J20" s="45"/>
      <c r="K20" s="43"/>
      <c r="L20" s="51"/>
      <c r="M20" s="46"/>
      <c r="N20" s="45"/>
      <c r="O20" s="46"/>
      <c r="P20" s="45"/>
      <c r="Q20" s="89"/>
      <c r="R20" s="45">
        <v>-4</v>
      </c>
      <c r="S20" s="46">
        <f>R20*5000*0.4</f>
        <v>-8000</v>
      </c>
      <c r="T20" s="45">
        <v>4</v>
      </c>
      <c r="U20" s="87">
        <f>T20*7000*0.6</f>
        <v>16800</v>
      </c>
      <c r="V20" s="82"/>
      <c r="W20" s="83"/>
      <c r="X20" s="82"/>
      <c r="Y20" s="92"/>
      <c r="Z20" s="100"/>
    </row>
    <row r="21" spans="1:26" s="4" customFormat="1" ht="24" customHeight="1">
      <c r="A21" s="52" t="s">
        <v>34</v>
      </c>
      <c r="B21" s="41">
        <f t="shared" si="3"/>
        <v>20800</v>
      </c>
      <c r="C21" s="51">
        <v>-1</v>
      </c>
      <c r="D21" s="41">
        <f>C21*3000*0.4</f>
        <v>-1200</v>
      </c>
      <c r="E21" s="51"/>
      <c r="F21" s="43"/>
      <c r="G21" s="45">
        <v>1</v>
      </c>
      <c r="H21" s="51"/>
      <c r="I21" s="43"/>
      <c r="J21" s="45"/>
      <c r="K21" s="43"/>
      <c r="L21" s="51"/>
      <c r="M21" s="46"/>
      <c r="N21" s="45">
        <v>-1</v>
      </c>
      <c r="O21" s="69">
        <f>N21*5000*0.4*2</f>
        <v>-4000</v>
      </c>
      <c r="P21" s="45">
        <v>1</v>
      </c>
      <c r="Q21" s="94">
        <f>P21*7000*0.6*2</f>
        <v>8400</v>
      </c>
      <c r="R21" s="45">
        <f>-6-2</f>
        <v>-8</v>
      </c>
      <c r="S21" s="46">
        <f>R21*5000*0.4</f>
        <v>-16000</v>
      </c>
      <c r="T21" s="45">
        <v>8</v>
      </c>
      <c r="U21" s="87">
        <f>T21*7000*0.6</f>
        <v>33600</v>
      </c>
      <c r="V21" s="82"/>
      <c r="W21" s="83"/>
      <c r="X21" s="82"/>
      <c r="Y21" s="92"/>
      <c r="Z21" s="100"/>
    </row>
    <row r="22" spans="1:26" s="4" customFormat="1" ht="24" customHeight="1">
      <c r="A22" s="53" t="s">
        <v>35</v>
      </c>
      <c r="B22" s="41">
        <f t="shared" si="3"/>
        <v>4200</v>
      </c>
      <c r="C22" s="54">
        <v>-2</v>
      </c>
      <c r="D22" s="41">
        <f>C22*3000*0.4</f>
        <v>-2400</v>
      </c>
      <c r="E22" s="54"/>
      <c r="F22" s="41"/>
      <c r="G22" s="47">
        <v>1</v>
      </c>
      <c r="H22" s="54"/>
      <c r="I22" s="70"/>
      <c r="J22" s="47"/>
      <c r="K22" s="66"/>
      <c r="L22" s="54"/>
      <c r="M22" s="41"/>
      <c r="N22" s="47"/>
      <c r="O22" s="41"/>
      <c r="P22" s="47"/>
      <c r="Q22" s="95"/>
      <c r="R22" s="45">
        <v>-3</v>
      </c>
      <c r="S22" s="46">
        <f>R22*5000*0.4</f>
        <v>-6000</v>
      </c>
      <c r="T22" s="45">
        <v>3</v>
      </c>
      <c r="U22" s="87">
        <f>T22*7000*0.6</f>
        <v>12600</v>
      </c>
      <c r="V22" s="82"/>
      <c r="W22" s="83"/>
      <c r="X22" s="82"/>
      <c r="Y22" s="92"/>
      <c r="Z22" s="100"/>
    </row>
    <row r="23" ht="24.75" customHeight="1">
      <c r="B23" s="6" t="s">
        <v>36</v>
      </c>
    </row>
  </sheetData>
  <sheetProtection/>
  <mergeCells count="23">
    <mergeCell ref="A1:Q1"/>
    <mergeCell ref="G3:H3"/>
    <mergeCell ref="C4:F4"/>
    <mergeCell ref="G4:K4"/>
    <mergeCell ref="L4:M4"/>
    <mergeCell ref="N4:Q4"/>
    <mergeCell ref="R4:U4"/>
    <mergeCell ref="V4:Y4"/>
    <mergeCell ref="C5:D5"/>
    <mergeCell ref="E5:F5"/>
    <mergeCell ref="G5:I5"/>
    <mergeCell ref="J5:K5"/>
    <mergeCell ref="N5:O5"/>
    <mergeCell ref="P5:Q5"/>
    <mergeCell ref="R5:S5"/>
    <mergeCell ref="T5:U5"/>
    <mergeCell ref="V5:W5"/>
    <mergeCell ref="X5:Y5"/>
    <mergeCell ref="A4:A6"/>
    <mergeCell ref="B4:B6"/>
    <mergeCell ref="L5:L6"/>
    <mergeCell ref="M5:M6"/>
    <mergeCell ref="Z4:Z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董美华</cp:lastModifiedBy>
  <cp:lastPrinted>2019-04-11T08:24:34Z</cp:lastPrinted>
  <dcterms:created xsi:type="dcterms:W3CDTF">2011-09-13T11:12:31Z</dcterms:created>
  <dcterms:modified xsi:type="dcterms:W3CDTF">2019-04-15T02:14:11Z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